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charts/chart2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24.xml" ContentType="application/vnd.openxmlformats-officedocument.drawing+xml"/>
  <Override PartName="/xl/charts/chart22.xml" ContentType="application/vnd.openxmlformats-officedocument.drawingml.chart+xml"/>
  <Override PartName="/xl/drawings/drawing25.xml" ContentType="application/vnd.openxmlformats-officedocument.drawingml.chartshapes+xml"/>
  <Override PartName="/xl/charts/chart23.xml" ContentType="application/vnd.openxmlformats-officedocument.drawingml.chart+xml"/>
  <Override PartName="/xl/drawings/drawing26.xml" ContentType="application/vnd.openxmlformats-officedocument.drawingml.chartshapes+xml"/>
  <Override PartName="/xl/charts/chart24.xml" ContentType="application/vnd.openxmlformats-officedocument.drawingml.chart+xml"/>
  <Override PartName="/xl/drawings/drawing27.xml" ContentType="application/vnd.openxmlformats-officedocument.drawingml.chartshapes+xml"/>
  <Override PartName="/xl/comments9.xml" ContentType="application/vnd.openxmlformats-officedocument.spreadsheetml.comments+xml"/>
  <Override PartName="/xl/comments10.xml" ContentType="application/vnd.openxmlformats-officedocument.spreadsheetml.comments+xml"/>
  <Override PartName="/xl/drawings/drawing28.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nb.lcl\data\Users\FIN\Shared\OMB\budget\Budget18\Financial Forecasts\PERS\"/>
    </mc:Choice>
  </mc:AlternateContent>
  <bookViews>
    <workbookView xWindow="3585" yWindow="7260" windowWidth="23190" windowHeight="6660" tabRatio="938" firstSheet="6" activeTab="6"/>
  </bookViews>
  <sheets>
    <sheet name="Summary" sheetId="2" state="hidden" r:id="rId1"/>
    <sheet name="Detail" sheetId="1" state="hidden" r:id="rId2"/>
    <sheet name="Charts" sheetId="11" state="hidden" r:id="rId3"/>
    <sheet name="ChartData" sheetId="10" state="hidden" r:id="rId4"/>
    <sheet name="Total" sheetId="6" state="hidden" r:id="rId5"/>
    <sheet name="UL" sheetId="7" state="hidden" r:id="rId6"/>
    <sheet name="Notes" sheetId="41" r:id="rId7"/>
    <sheet name="Sample Amort Comparison" sheetId="22" r:id="rId8"/>
    <sheet name="Chart" sheetId="39" state="hidden" r:id="rId9"/>
    <sheet name="PmtComp w2016 loss" sheetId="30" state="hidden" r:id="rId10"/>
    <sheet name="Post Disc Recomm Comp Alt1" sheetId="37" state="hidden" r:id="rId11"/>
    <sheet name="Post Disc Recomm Comp Alt2" sheetId="38" state="hidden" r:id="rId12"/>
    <sheet name="BalComp" sheetId="32" state="hidden" r:id="rId13"/>
    <sheet name="Analysis Results" sheetId="40" r:id="rId14"/>
    <sheet name="Total Curr Schedule" sheetId="26" r:id="rId15"/>
    <sheet name="Total Curr w2016 Loss" sheetId="27" r:id="rId16"/>
    <sheet name="Total Alt Schedule @ 7%" sheetId="28" r:id="rId17"/>
    <sheet name="Total Alt Sched @ 6.5%" sheetId="29" r:id="rId18"/>
    <sheet name="MiscAmortBases" sheetId="14" r:id="rId19"/>
    <sheet name="Misc Curr Schedule " sheetId="18" r:id="rId20"/>
    <sheet name="Misc Curr Schd w2016Loss &amp; DC" sheetId="5" r:id="rId21"/>
    <sheet name="Misc Alt Schedule @ 7%" sheetId="17" r:id="rId22"/>
    <sheet name="Misc Alt Schedule @ 6.5%" sheetId="35" r:id="rId23"/>
    <sheet name="Misc Alt Schedules Old Style " sheetId="8" state="hidden" r:id="rId24"/>
    <sheet name="SafetyAmort Bases" sheetId="13" r:id="rId25"/>
    <sheet name="Safety Curr Schedule" sheetId="20" r:id="rId26"/>
    <sheet name="Safety Curr Schedule w2016Loss " sheetId="19" r:id="rId27"/>
    <sheet name="Safety Curr ScheduleOLD" sheetId="3" state="hidden" r:id="rId28"/>
    <sheet name="Safety Alt Schedule @ 7%" sheetId="36" r:id="rId29"/>
    <sheet name="Safety Alt Schedule @ 6.5%" sheetId="34" r:id="rId30"/>
    <sheet name="Safety Alt Schedules_Old " sheetId="9" state="hidden" r:id="rId31"/>
    <sheet name="MVA AVA" sheetId="12" state="hidden" r:id="rId32"/>
    <sheet name="Sheet1" sheetId="15" state="hidden" r:id="rId33"/>
    <sheet name="Sheet2" sheetId="16" state="hidden" r:id="rId34"/>
  </sheets>
  <externalReferences>
    <externalReference r:id="rId35"/>
    <externalReference r:id="rId36"/>
  </externalReferences>
  <definedNames>
    <definedName name="ALT_6.5PCT">'Total Alt Sched @ 6.5%'!$A$16:$AO$36</definedName>
    <definedName name="ALT_7PCT">'Total Alt Schedule @ 7%'!$A$16:$AA$36</definedName>
    <definedName name="DEFAULT">'Total Curr w2016 Loss'!$A$11:$AA$46</definedName>
    <definedName name="_xlnm.Print_Area" localSheetId="12">BalComp!$A$5:$W$48</definedName>
    <definedName name="_xlnm.Print_Area" localSheetId="3">ChartData!$A$5:$AE$56</definedName>
    <definedName name="_xlnm.Print_Area" localSheetId="22">'Misc Alt Schedule @ 6.5%'!$A$1:$AD$50</definedName>
    <definedName name="_xlnm.Print_Area" localSheetId="21">'Misc Alt Schedule @ 7%'!$A$1:$AA$50</definedName>
    <definedName name="_xlnm.Print_Area" localSheetId="23">'Misc Alt Schedules Old Style '!$A$4:$AC$55</definedName>
    <definedName name="_xlnm.Print_Area" localSheetId="20">'Misc Curr Schd w2016Loss &amp; DC'!$A$1:$AA$50</definedName>
    <definedName name="_xlnm.Print_Area" localSheetId="19">'Misc Curr Schedule '!$A$1:$T$50</definedName>
    <definedName name="_xlnm.Print_Area" localSheetId="9">'PmtComp w2016 loss'!$A$5:$W$48</definedName>
    <definedName name="_xlnm.Print_Area" localSheetId="10">'Post Disc Recomm Comp Alt1'!$A$5:$W$48</definedName>
    <definedName name="_xlnm.Print_Area" localSheetId="11">'Post Disc Recomm Comp Alt2'!$A$5:$X$48</definedName>
    <definedName name="_xlnm.Print_Area" localSheetId="29">'Safety Alt Schedule @ 6.5%'!$A$1:$AD$50</definedName>
    <definedName name="_xlnm.Print_Area" localSheetId="28">'Safety Alt Schedule @ 7%'!$A$1:$AD$50</definedName>
    <definedName name="_xlnm.Print_Area" localSheetId="30">'Safety Alt Schedules_Old '!$A$1:$AC$55</definedName>
    <definedName name="_xlnm.Print_Area" localSheetId="25">'Safety Curr Schedule'!$A$1:$R$50</definedName>
    <definedName name="_xlnm.Print_Area" localSheetId="26">'Safety Curr Schedule w2016Loss '!$A$1:$AA$50</definedName>
    <definedName name="_xlnm.Print_Area" localSheetId="27">'Safety Curr ScheduleOLD'!$B$1:$AB$50</definedName>
    <definedName name="_xlnm.Print_Area" localSheetId="7">'Sample Amort Comparison'!$A$1:$AD$58</definedName>
    <definedName name="_xlnm.Print_Area" localSheetId="33">Sheet2!$E$11:$G$45</definedName>
    <definedName name="_xlnm.Print_Area" localSheetId="17">'Total Alt Sched @ 6.5%'!$A$1:$AX$50</definedName>
    <definedName name="_xlnm.Print_Area" localSheetId="16">'Total Alt Schedule @ 7%'!$A$1:$AA$50</definedName>
    <definedName name="_xlnm.Print_Area" localSheetId="14">'Total Curr Schedule'!$A$1:$AC$50</definedName>
    <definedName name="_xlnm.Print_Area" localSheetId="15">'Total Curr w2016 Loss'!$A$1:$AA$50</definedName>
  </definedNames>
  <calcPr calcId="162913"/>
</workbook>
</file>

<file path=xl/calcChain.xml><?xml version="1.0" encoding="utf-8"?>
<calcChain xmlns="http://schemas.openxmlformats.org/spreadsheetml/2006/main">
  <c r="G33" i="20" l="1"/>
  <c r="H33" i="20"/>
  <c r="I33" i="20" s="1"/>
  <c r="G34" i="20" s="1"/>
  <c r="G35" i="20" s="1"/>
  <c r="G36" i="20" s="1"/>
  <c r="H34" i="20"/>
  <c r="I34" i="20" s="1"/>
  <c r="H35" i="20"/>
  <c r="I35" i="20" s="1"/>
  <c r="G33" i="18"/>
  <c r="H33" i="18"/>
  <c r="H34" i="18" s="1"/>
  <c r="I33" i="18"/>
  <c r="G34" i="18" s="1"/>
  <c r="G36" i="29"/>
  <c r="H36" i="29"/>
  <c r="H37" i="29" s="1"/>
  <c r="H38" i="29" s="1"/>
  <c r="H39" i="29" s="1"/>
  <c r="H40" i="29" s="1"/>
  <c r="H41" i="29" s="1"/>
  <c r="H42" i="29" s="1"/>
  <c r="H43" i="29" s="1"/>
  <c r="H44" i="29" s="1"/>
  <c r="I36" i="29"/>
  <c r="G37" i="29"/>
  <c r="I37" i="29"/>
  <c r="G38" i="29"/>
  <c r="I38" i="29"/>
  <c r="G39" i="29"/>
  <c r="I39" i="29"/>
  <c r="G40" i="29"/>
  <c r="I40" i="29"/>
  <c r="G41" i="29"/>
  <c r="I41" i="29"/>
  <c r="G42" i="29"/>
  <c r="I42" i="29"/>
  <c r="G43" i="29"/>
  <c r="I43" i="29"/>
  <c r="G44" i="29"/>
  <c r="I44" i="29"/>
  <c r="H36" i="20" l="1"/>
  <c r="I34" i="18"/>
  <c r="G35" i="18" s="1"/>
  <c r="H35" i="18"/>
  <c r="I36" i="20" l="1"/>
  <c r="G37" i="20" s="1"/>
  <c r="H37" i="20"/>
  <c r="I35" i="18"/>
  <c r="G36" i="18" s="1"/>
  <c r="H36" i="18"/>
  <c r="H38" i="20" l="1"/>
  <c r="I37" i="20"/>
  <c r="G38" i="20"/>
  <c r="H37" i="18"/>
  <c r="I36" i="18"/>
  <c r="G37" i="18" s="1"/>
  <c r="I38" i="20" l="1"/>
  <c r="G39" i="20" s="1"/>
  <c r="H39" i="20"/>
  <c r="G38" i="18"/>
  <c r="H38" i="18"/>
  <c r="I37" i="18"/>
  <c r="I39" i="20" l="1"/>
  <c r="G40" i="20" s="1"/>
  <c r="H40" i="20"/>
  <c r="I38" i="18"/>
  <c r="G39" i="18" s="1"/>
  <c r="H39" i="18"/>
  <c r="I40" i="20" l="1"/>
  <c r="G41" i="20" s="1"/>
  <c r="H41" i="20"/>
  <c r="I39" i="18"/>
  <c r="G40" i="18" s="1"/>
  <c r="H40" i="18"/>
  <c r="H42" i="20" l="1"/>
  <c r="I41" i="20"/>
  <c r="G42" i="20" s="1"/>
  <c r="H41" i="18"/>
  <c r="I40" i="18"/>
  <c r="G41" i="18" s="1"/>
  <c r="I42" i="20" l="1"/>
  <c r="G43" i="20" s="1"/>
  <c r="H43" i="20"/>
  <c r="H42" i="18"/>
  <c r="I41" i="18"/>
  <c r="G42" i="18" s="1"/>
  <c r="I43" i="20" l="1"/>
  <c r="G44" i="20" s="1"/>
  <c r="H44" i="20"/>
  <c r="I42" i="18"/>
  <c r="G43" i="18" s="1"/>
  <c r="H43" i="18"/>
  <c r="I44" i="20" l="1"/>
  <c r="I43" i="18"/>
  <c r="G44" i="18" s="1"/>
  <c r="H44" i="18"/>
  <c r="I44" i="18" l="1"/>
  <c r="D42" i="40" l="1"/>
  <c r="D41" i="40"/>
  <c r="O35" i="40"/>
  <c r="O34" i="40"/>
  <c r="O33" i="40"/>
  <c r="O32" i="40"/>
  <c r="O31" i="40"/>
  <c r="O30" i="40"/>
  <c r="O29" i="40"/>
  <c r="O28" i="40"/>
  <c r="O27" i="40"/>
  <c r="O26" i="40"/>
  <c r="O25" i="40"/>
  <c r="N25" i="40"/>
  <c r="N26" i="40"/>
  <c r="N27" i="40"/>
  <c r="N28" i="40"/>
  <c r="N29" i="40"/>
  <c r="N30" i="40"/>
  <c r="N31" i="40"/>
  <c r="N32" i="40"/>
  <c r="N33" i="40"/>
  <c r="N34" i="40"/>
  <c r="N35" i="40"/>
  <c r="Z4" i="40" l="1"/>
  <c r="W4" i="40"/>
  <c r="X4" i="40"/>
  <c r="Y4" i="40"/>
  <c r="V4" i="40"/>
  <c r="U6" i="40" l="1"/>
  <c r="T6" i="40"/>
  <c r="T7" i="40" s="1"/>
  <c r="T8" i="40" s="1"/>
  <c r="T9" i="40" s="1"/>
  <c r="T10" i="40" s="1"/>
  <c r="T11" i="40" s="1"/>
  <c r="T12" i="40" s="1"/>
  <c r="T13" i="40" s="1"/>
  <c r="T14" i="40" s="1"/>
  <c r="T15" i="40" s="1"/>
  <c r="T16" i="40" s="1"/>
  <c r="T17" i="40" s="1"/>
  <c r="T18" i="40" s="1"/>
  <c r="T19" i="40" s="1"/>
  <c r="T20" i="40" s="1"/>
  <c r="T21" i="40" s="1"/>
  <c r="T22" i="40" s="1"/>
  <c r="T23" i="40" s="1"/>
  <c r="T24" i="40" s="1"/>
  <c r="T25" i="40" s="1"/>
  <c r="T26" i="40" s="1"/>
  <c r="T27" i="40" s="1"/>
  <c r="T28" i="40" s="1"/>
  <c r="T29" i="40" s="1"/>
  <c r="T30" i="40" s="1"/>
  <c r="T31" i="40" s="1"/>
  <c r="T32" i="40" s="1"/>
  <c r="T33" i="40" s="1"/>
  <c r="T34" i="40" s="1"/>
  <c r="T35" i="40" s="1"/>
  <c r="S6" i="40"/>
  <c r="S7" i="40" s="1"/>
  <c r="S8" i="40" s="1"/>
  <c r="S9" i="40" s="1"/>
  <c r="S10" i="40" s="1"/>
  <c r="S11" i="40" s="1"/>
  <c r="S12" i="40" s="1"/>
  <c r="S13" i="40" s="1"/>
  <c r="S14" i="40" s="1"/>
  <c r="S15" i="40" s="1"/>
  <c r="S16" i="40" s="1"/>
  <c r="S17" i="40" s="1"/>
  <c r="S18" i="40" s="1"/>
  <c r="S19" i="40" s="1"/>
  <c r="S20" i="40" s="1"/>
  <c r="S21" i="40" s="1"/>
  <c r="S22" i="40" s="1"/>
  <c r="S23" i="40" s="1"/>
  <c r="S24" i="40" s="1"/>
  <c r="S25" i="40" s="1"/>
  <c r="S26" i="40" s="1"/>
  <c r="S27" i="40" s="1"/>
  <c r="S28" i="40" s="1"/>
  <c r="S29" i="40" s="1"/>
  <c r="S30" i="40" s="1"/>
  <c r="S31" i="40" s="1"/>
  <c r="S32" i="40" s="1"/>
  <c r="S33" i="40" s="1"/>
  <c r="S34" i="40" s="1"/>
  <c r="S35" i="40" s="1"/>
  <c r="U7" i="40" l="1"/>
  <c r="D16" i="27"/>
  <c r="F16" i="27" s="1"/>
  <c r="D17" i="27"/>
  <c r="E17" i="27"/>
  <c r="D18" i="27"/>
  <c r="D19" i="27"/>
  <c r="D20" i="27"/>
  <c r="D21" i="27"/>
  <c r="D22" i="27"/>
  <c r="D23" i="27"/>
  <c r="D24" i="27"/>
  <c r="D25" i="27"/>
  <c r="D26" i="27"/>
  <c r="D27" i="27"/>
  <c r="D28" i="27"/>
  <c r="D29" i="27"/>
  <c r="D30" i="27"/>
  <c r="D31" i="27"/>
  <c r="D32" i="27"/>
  <c r="D16" i="28"/>
  <c r="F16" i="28"/>
  <c r="D17" i="28"/>
  <c r="E17" i="28"/>
  <c r="E18" i="28" s="1"/>
  <c r="E19" i="28" s="1"/>
  <c r="E20" i="28" s="1"/>
  <c r="E21" i="28" s="1"/>
  <c r="E22" i="28" s="1"/>
  <c r="E23" i="28" s="1"/>
  <c r="E24" i="28" s="1"/>
  <c r="E25" i="28" s="1"/>
  <c r="E26" i="28" s="1"/>
  <c r="E27" i="28" s="1"/>
  <c r="E28" i="28" s="1"/>
  <c r="E29" i="28" s="1"/>
  <c r="E30" i="28" s="1"/>
  <c r="E31" i="28" s="1"/>
  <c r="E32" i="28" s="1"/>
  <c r="F17" i="28"/>
  <c r="D18" i="28"/>
  <c r="F18" i="28"/>
  <c r="D19" i="28"/>
  <c r="F19" i="28"/>
  <c r="D20" i="28"/>
  <c r="F20" i="28"/>
  <c r="D21" i="28"/>
  <c r="F21" i="28"/>
  <c r="D22" i="28"/>
  <c r="F22" i="28"/>
  <c r="D23" i="28"/>
  <c r="F23" i="28"/>
  <c r="D24" i="28"/>
  <c r="F24" i="28"/>
  <c r="D25" i="28"/>
  <c r="F25" i="28"/>
  <c r="D26" i="28"/>
  <c r="F26" i="28"/>
  <c r="D27" i="28"/>
  <c r="F27" i="28"/>
  <c r="D28" i="28"/>
  <c r="F28" i="28"/>
  <c r="D29" i="28"/>
  <c r="F29" i="28"/>
  <c r="D30" i="28"/>
  <c r="F30" i="28"/>
  <c r="D31" i="28"/>
  <c r="F31" i="28"/>
  <c r="D32" i="28"/>
  <c r="F32" i="28"/>
  <c r="D16" i="29"/>
  <c r="F16" i="29"/>
  <c r="D17" i="29"/>
  <c r="E17" i="29"/>
  <c r="E18" i="29" s="1"/>
  <c r="E19" i="29" s="1"/>
  <c r="E20" i="29" s="1"/>
  <c r="E21" i="29" s="1"/>
  <c r="E22" i="29" s="1"/>
  <c r="E23" i="29" s="1"/>
  <c r="E24" i="29" s="1"/>
  <c r="E25" i="29" s="1"/>
  <c r="E26" i="29" s="1"/>
  <c r="E27" i="29" s="1"/>
  <c r="E28" i="29" s="1"/>
  <c r="E29" i="29" s="1"/>
  <c r="E30" i="29" s="1"/>
  <c r="E31" i="29" s="1"/>
  <c r="E32" i="29" s="1"/>
  <c r="F17" i="29"/>
  <c r="D18" i="29"/>
  <c r="F18" i="29"/>
  <c r="D19" i="29"/>
  <c r="F19" i="29"/>
  <c r="D20" i="29"/>
  <c r="F20" i="29"/>
  <c r="D21" i="29"/>
  <c r="F21" i="29"/>
  <c r="D22" i="29"/>
  <c r="F22" i="29"/>
  <c r="D23" i="29"/>
  <c r="F23" i="29"/>
  <c r="D24" i="29"/>
  <c r="F24" i="29"/>
  <c r="D25" i="29"/>
  <c r="F25" i="29"/>
  <c r="D26" i="29"/>
  <c r="F26" i="29"/>
  <c r="D27" i="29"/>
  <c r="F27" i="29"/>
  <c r="D28" i="29"/>
  <c r="F28" i="29"/>
  <c r="D29" i="29"/>
  <c r="F29" i="29"/>
  <c r="D30" i="29"/>
  <c r="F30" i="29"/>
  <c r="D31" i="29"/>
  <c r="F31" i="29"/>
  <c r="D32" i="29"/>
  <c r="F32" i="29"/>
  <c r="F16" i="18"/>
  <c r="D17" i="18" s="1"/>
  <c r="E17" i="18"/>
  <c r="E18" i="18" s="1"/>
  <c r="U8" i="40" l="1"/>
  <c r="F17" i="27"/>
  <c r="E18" i="27"/>
  <c r="E19" i="18"/>
  <c r="F17" i="18"/>
  <c r="D18" i="18" s="1"/>
  <c r="U9" i="40" l="1"/>
  <c r="F18" i="27"/>
  <c r="E19" i="27"/>
  <c r="F18" i="18"/>
  <c r="D19" i="18" s="1"/>
  <c r="E20" i="18"/>
  <c r="U10" i="40" l="1"/>
  <c r="E20" i="27"/>
  <c r="F19" i="27"/>
  <c r="F19" i="18"/>
  <c r="D20" i="18" s="1"/>
  <c r="E21" i="18"/>
  <c r="U11" i="40" l="1"/>
  <c r="E21" i="27"/>
  <c r="F20" i="27"/>
  <c r="F20" i="18"/>
  <c r="D21" i="18" s="1"/>
  <c r="E22" i="18"/>
  <c r="U12" i="40" l="1"/>
  <c r="F21" i="27"/>
  <c r="E22" i="27"/>
  <c r="F21" i="18"/>
  <c r="D22" i="18" s="1"/>
  <c r="E23" i="18"/>
  <c r="U13" i="40" l="1"/>
  <c r="F22" i="27"/>
  <c r="E23" i="27"/>
  <c r="F22" i="18"/>
  <c r="D23" i="18" s="1"/>
  <c r="E24" i="18"/>
  <c r="U14" i="40" l="1"/>
  <c r="E24" i="27"/>
  <c r="F23" i="27"/>
  <c r="F23" i="18"/>
  <c r="D24" i="18" s="1"/>
  <c r="E25" i="18"/>
  <c r="U15" i="40" l="1"/>
  <c r="E25" i="27"/>
  <c r="F24" i="27"/>
  <c r="F24" i="18"/>
  <c r="D25" i="18" s="1"/>
  <c r="E26" i="18"/>
  <c r="U16" i="40" l="1"/>
  <c r="F25" i="27"/>
  <c r="E26" i="27"/>
  <c r="F25" i="18"/>
  <c r="D26" i="18" s="1"/>
  <c r="E27" i="18"/>
  <c r="U17" i="40" l="1"/>
  <c r="F26" i="27"/>
  <c r="E27" i="27"/>
  <c r="F26" i="18"/>
  <c r="D27" i="18" s="1"/>
  <c r="E28" i="18"/>
  <c r="U18" i="40" l="1"/>
  <c r="E28" i="27"/>
  <c r="F27" i="27"/>
  <c r="F27" i="18"/>
  <c r="D28" i="18" s="1"/>
  <c r="E29" i="18"/>
  <c r="U19" i="40" l="1"/>
  <c r="E29" i="27"/>
  <c r="F28" i="27"/>
  <c r="F28" i="18"/>
  <c r="D29" i="18" s="1"/>
  <c r="E30" i="18"/>
  <c r="U20" i="40" l="1"/>
  <c r="F29" i="27"/>
  <c r="E30" i="27"/>
  <c r="F29" i="18"/>
  <c r="D30" i="18" s="1"/>
  <c r="E31" i="18"/>
  <c r="U21" i="40" l="1"/>
  <c r="F30" i="27"/>
  <c r="E31" i="27"/>
  <c r="F30" i="18"/>
  <c r="D31" i="18" s="1"/>
  <c r="E32" i="18"/>
  <c r="U22" i="40" l="1"/>
  <c r="E32" i="27"/>
  <c r="F32" i="27" s="1"/>
  <c r="F31" i="27"/>
  <c r="F31" i="18"/>
  <c r="D32" i="18" s="1"/>
  <c r="F32" i="18" s="1"/>
  <c r="U23" i="40" l="1"/>
  <c r="Y15" i="22"/>
  <c r="U24" i="40" l="1"/>
  <c r="AB36" i="34"/>
  <c r="AC36" i="34"/>
  <c r="AC37" i="34" s="1"/>
  <c r="AC38" i="34" s="1"/>
  <c r="AC39" i="34" s="1"/>
  <c r="AC40" i="34" s="1"/>
  <c r="AC41" i="34" s="1"/>
  <c r="AC42" i="34" s="1"/>
  <c r="AC43" i="34" s="1"/>
  <c r="AC44" i="34" s="1"/>
  <c r="AD36" i="34"/>
  <c r="AO36" i="29" s="1"/>
  <c r="AB37" i="34"/>
  <c r="AM37" i="29" s="1"/>
  <c r="AD37" i="34"/>
  <c r="AB38" i="34"/>
  <c r="AM38" i="29" s="1"/>
  <c r="AD38" i="34"/>
  <c r="AB39" i="34"/>
  <c r="AD39" i="34"/>
  <c r="AB40" i="34"/>
  <c r="AM40" i="29" s="1"/>
  <c r="AD40" i="34"/>
  <c r="AO40" i="29" s="1"/>
  <c r="AB41" i="34"/>
  <c r="AM41" i="29" s="1"/>
  <c r="AD41" i="34"/>
  <c r="AB42" i="34"/>
  <c r="AM42" i="29" s="1"/>
  <c r="AD42" i="34"/>
  <c r="AB43" i="34"/>
  <c r="AD43" i="34"/>
  <c r="AB44" i="34"/>
  <c r="AM44" i="29" s="1"/>
  <c r="AD44" i="34"/>
  <c r="AO44" i="29" s="1"/>
  <c r="AM45" i="29"/>
  <c r="AM36" i="29"/>
  <c r="AN36" i="29"/>
  <c r="AN37" i="29" s="1"/>
  <c r="AN38" i="29" s="1"/>
  <c r="AN39" i="29" s="1"/>
  <c r="AN40" i="29" s="1"/>
  <c r="AN41" i="29" s="1"/>
  <c r="AN42" i="29" s="1"/>
  <c r="AN43" i="29" s="1"/>
  <c r="AN44" i="29" s="1"/>
  <c r="AN45" i="29" s="1"/>
  <c r="AO37" i="29"/>
  <c r="AO38" i="29"/>
  <c r="AM39" i="29"/>
  <c r="AO39" i="29"/>
  <c r="AO41" i="29"/>
  <c r="AO42" i="29"/>
  <c r="AM43" i="29"/>
  <c r="AO43" i="29"/>
  <c r="AO45" i="29"/>
  <c r="AC36" i="36"/>
  <c r="AC37" i="36" s="1"/>
  <c r="AC38" i="36" s="1"/>
  <c r="AC39" i="36" s="1"/>
  <c r="AC40" i="36" s="1"/>
  <c r="AC41" i="36" s="1"/>
  <c r="AC42" i="36" s="1"/>
  <c r="AC43" i="36" s="1"/>
  <c r="AC44" i="36" s="1"/>
  <c r="AC45" i="36" s="1"/>
  <c r="Z36" i="17"/>
  <c r="Z37" i="17"/>
  <c r="Z38" i="17"/>
  <c r="Z39" i="17" s="1"/>
  <c r="Z40" i="17" s="1"/>
  <c r="Z41" i="17" s="1"/>
  <c r="Z42" i="17" s="1"/>
  <c r="Z43" i="17" s="1"/>
  <c r="Z44" i="17" s="1"/>
  <c r="Z45" i="17" s="1"/>
  <c r="Y45" i="17"/>
  <c r="AA45" i="17"/>
  <c r="AC36" i="28"/>
  <c r="AE36" i="28"/>
  <c r="AC37" i="28"/>
  <c r="AE37" i="28"/>
  <c r="AC38" i="28"/>
  <c r="AE38" i="28"/>
  <c r="AC39" i="28"/>
  <c r="AE39" i="28"/>
  <c r="AC40" i="28"/>
  <c r="AE40" i="28"/>
  <c r="AC41" i="28"/>
  <c r="AE41" i="28"/>
  <c r="AC42" i="28"/>
  <c r="AE42" i="28"/>
  <c r="AC43" i="28"/>
  <c r="AE43" i="28"/>
  <c r="AC44" i="28"/>
  <c r="AE44" i="28"/>
  <c r="AC45" i="28"/>
  <c r="AE45" i="28"/>
  <c r="G33" i="19"/>
  <c r="H33" i="19"/>
  <c r="I33" i="19"/>
  <c r="G34" i="19"/>
  <c r="G35" i="19" s="1"/>
  <c r="H34" i="19"/>
  <c r="I34" i="19"/>
  <c r="H35" i="19"/>
  <c r="I35" i="19" s="1"/>
  <c r="G34" i="5"/>
  <c r="H34" i="5"/>
  <c r="H35" i="5" s="1"/>
  <c r="I34" i="5"/>
  <c r="G35" i="5"/>
  <c r="H16" i="28"/>
  <c r="U25" i="40" l="1"/>
  <c r="G36" i="19"/>
  <c r="H36" i="19"/>
  <c r="I35" i="5"/>
  <c r="G36" i="5" s="1"/>
  <c r="H36" i="5"/>
  <c r="U26" i="40" l="1"/>
  <c r="H37" i="19"/>
  <c r="I36" i="19"/>
  <c r="G37" i="19" s="1"/>
  <c r="I36" i="5"/>
  <c r="G37" i="5" s="1"/>
  <c r="H37" i="5"/>
  <c r="U27" i="40" l="1"/>
  <c r="H38" i="19"/>
  <c r="I37" i="19"/>
  <c r="G38" i="19" s="1"/>
  <c r="H38" i="5"/>
  <c r="I37" i="5"/>
  <c r="G38" i="5" s="1"/>
  <c r="U28" i="40" l="1"/>
  <c r="I38" i="19"/>
  <c r="G39" i="19" s="1"/>
  <c r="H39" i="19"/>
  <c r="H39" i="5"/>
  <c r="I38" i="5"/>
  <c r="G39" i="5" s="1"/>
  <c r="U29" i="40" l="1"/>
  <c r="I39" i="19"/>
  <c r="G40" i="19" s="1"/>
  <c r="H40" i="19"/>
  <c r="I39" i="5"/>
  <c r="G40" i="5" s="1"/>
  <c r="H40" i="5"/>
  <c r="U30" i="40" l="1"/>
  <c r="H41" i="19"/>
  <c r="I40" i="19"/>
  <c r="G41" i="19" s="1"/>
  <c r="I40" i="5"/>
  <c r="G41" i="5" s="1"/>
  <c r="H41" i="5"/>
  <c r="U31" i="40" l="1"/>
  <c r="H42" i="19"/>
  <c r="I41" i="19"/>
  <c r="G42" i="19" s="1"/>
  <c r="H42" i="5"/>
  <c r="I41" i="5"/>
  <c r="G42" i="5" s="1"/>
  <c r="U32" i="40" l="1"/>
  <c r="I42" i="19"/>
  <c r="G43" i="19" s="1"/>
  <c r="H43" i="19"/>
  <c r="H43" i="5"/>
  <c r="I42" i="5"/>
  <c r="G43" i="5" s="1"/>
  <c r="U33" i="40" l="1"/>
  <c r="I43" i="19"/>
  <c r="G44" i="19" s="1"/>
  <c r="H44" i="19"/>
  <c r="I43" i="5"/>
  <c r="G44" i="5" s="1"/>
  <c r="H44" i="5"/>
  <c r="U34" i="40" l="1"/>
  <c r="H45" i="19"/>
  <c r="I45" i="19" s="1"/>
  <c r="I44" i="19"/>
  <c r="G45" i="19" s="1"/>
  <c r="I44" i="5"/>
  <c r="U35" i="40" l="1"/>
  <c r="W18" i="22"/>
  <c r="W19" i="22" s="1"/>
  <c r="W20" i="22" s="1"/>
  <c r="W21" i="22" s="1"/>
  <c r="W22" i="22" s="1"/>
  <c r="W23" i="22" s="1"/>
  <c r="W24" i="22" s="1"/>
  <c r="W25" i="22" s="1"/>
  <c r="W26" i="22" s="1"/>
  <c r="W27" i="22" s="1"/>
  <c r="W28" i="22" s="1"/>
  <c r="W29" i="22" s="1"/>
  <c r="W30" i="22" s="1"/>
  <c r="W31" i="22" s="1"/>
  <c r="W32" i="22" s="1"/>
  <c r="W33" i="22" s="1"/>
  <c r="W34" i="22" s="1"/>
  <c r="V17" i="22"/>
  <c r="V18" i="22" s="1"/>
  <c r="V19" i="22" s="1"/>
  <c r="V20" i="22" s="1"/>
  <c r="V21" i="22" s="1"/>
  <c r="V22" i="22" s="1"/>
  <c r="V23" i="22" s="1"/>
  <c r="V24" i="22" s="1"/>
  <c r="V25" i="22" s="1"/>
  <c r="V26" i="22" s="1"/>
  <c r="V27" i="22" s="1"/>
  <c r="V28" i="22" s="1"/>
  <c r="V29" i="22" s="1"/>
  <c r="V30" i="22" s="1"/>
  <c r="V31" i="22" s="1"/>
  <c r="V32" i="22" s="1"/>
  <c r="V33" i="22" s="1"/>
  <c r="V34" i="22" s="1"/>
  <c r="V35" i="22" s="1"/>
  <c r="B6" i="40" l="1"/>
  <c r="B7" i="40" s="1"/>
  <c r="B8" i="40" s="1"/>
  <c r="B9" i="40" s="1"/>
  <c r="B10" i="40" s="1"/>
  <c r="B11" i="40" s="1"/>
  <c r="B12" i="40" s="1"/>
  <c r="B13" i="40" s="1"/>
  <c r="B14" i="40" s="1"/>
  <c r="B15" i="40" s="1"/>
  <c r="B16" i="40" s="1"/>
  <c r="B17" i="40" s="1"/>
  <c r="B18" i="40" s="1"/>
  <c r="B19" i="40" s="1"/>
  <c r="B20" i="40" s="1"/>
  <c r="B21" i="40" s="1"/>
  <c r="B22" i="40" s="1"/>
  <c r="B23" i="40" s="1"/>
  <c r="B24" i="40" s="1"/>
  <c r="B25" i="40" s="1"/>
  <c r="B26" i="40" s="1"/>
  <c r="B27" i="40" s="1"/>
  <c r="B28" i="40" s="1"/>
  <c r="B29" i="40" s="1"/>
  <c r="B30" i="40" s="1"/>
  <c r="B31" i="40" s="1"/>
  <c r="B32" i="40" s="1"/>
  <c r="B33" i="40" s="1"/>
  <c r="B34" i="40" s="1"/>
  <c r="B35" i="40" s="1"/>
  <c r="AD17" i="28" l="1"/>
  <c r="AD18" i="28" s="1"/>
  <c r="AD19" i="28" s="1"/>
  <c r="AR17" i="29"/>
  <c r="AR18" i="29" s="1"/>
  <c r="AD20" i="28" l="1"/>
  <c r="AR19" i="29"/>
  <c r="AC20" i="34"/>
  <c r="AC21" i="34" s="1"/>
  <c r="AC22" i="34" s="1"/>
  <c r="AC23" i="34" s="1"/>
  <c r="AC24" i="34" s="1"/>
  <c r="AC25" i="34" s="1"/>
  <c r="AC26" i="34" s="1"/>
  <c r="AC27" i="34" s="1"/>
  <c r="AC28" i="34" s="1"/>
  <c r="AC29" i="34" s="1"/>
  <c r="AC30" i="34" s="1"/>
  <c r="AC31" i="34" s="1"/>
  <c r="AC32" i="34" s="1"/>
  <c r="AC33" i="34" s="1"/>
  <c r="AC34" i="34" s="1"/>
  <c r="AC35" i="34" s="1"/>
  <c r="AC19" i="34"/>
  <c r="AC18" i="34"/>
  <c r="AC17" i="34"/>
  <c r="AA17" i="34"/>
  <c r="Y18" i="34" s="1"/>
  <c r="Z17" i="34"/>
  <c r="Z18" i="34" s="1"/>
  <c r="Y17" i="34"/>
  <c r="W20" i="34"/>
  <c r="W21" i="34" s="1"/>
  <c r="W19" i="34"/>
  <c r="W18" i="34"/>
  <c r="X18" i="34" s="1"/>
  <c r="X17" i="34"/>
  <c r="V18" i="34" s="1"/>
  <c r="W17" i="34"/>
  <c r="V17" i="34"/>
  <c r="T17" i="34"/>
  <c r="T18" i="34" s="1"/>
  <c r="S17" i="34"/>
  <c r="Q20" i="34"/>
  <c r="Q21" i="34" s="1"/>
  <c r="Q19" i="34"/>
  <c r="Q18" i="34"/>
  <c r="R18" i="34" s="1"/>
  <c r="R17" i="34"/>
  <c r="P18" i="34" s="1"/>
  <c r="Q17" i="34"/>
  <c r="P17" i="34"/>
  <c r="N20" i="34"/>
  <c r="N21" i="34" s="1"/>
  <c r="N19" i="34"/>
  <c r="N18" i="34"/>
  <c r="O18" i="34" s="1"/>
  <c r="O17" i="34"/>
  <c r="M18" i="34" s="1"/>
  <c r="N17" i="34"/>
  <c r="M17" i="34"/>
  <c r="K20" i="34"/>
  <c r="K21" i="34" s="1"/>
  <c r="K19" i="34"/>
  <c r="K18" i="34"/>
  <c r="L18" i="34" s="1"/>
  <c r="L17" i="34"/>
  <c r="J18" i="34" s="1"/>
  <c r="K17" i="34"/>
  <c r="J17" i="34"/>
  <c r="H16" i="34"/>
  <c r="H17" i="34" s="1"/>
  <c r="G16" i="34"/>
  <c r="E17" i="34"/>
  <c r="E18" i="34" s="1"/>
  <c r="D17" i="34"/>
  <c r="AC20" i="36"/>
  <c r="AC21" i="36" s="1"/>
  <c r="AC22" i="36" s="1"/>
  <c r="AC23" i="36" s="1"/>
  <c r="AC24" i="36" s="1"/>
  <c r="AC25" i="36" s="1"/>
  <c r="AC26" i="36" s="1"/>
  <c r="AC27" i="36" s="1"/>
  <c r="AC28" i="36" s="1"/>
  <c r="AC29" i="36" s="1"/>
  <c r="AC30" i="36" s="1"/>
  <c r="AC31" i="36" s="1"/>
  <c r="AC32" i="36" s="1"/>
  <c r="AC33" i="36" s="1"/>
  <c r="AC34" i="36" s="1"/>
  <c r="AC35" i="36" s="1"/>
  <c r="AC19" i="36"/>
  <c r="AC18" i="36"/>
  <c r="AC17" i="36"/>
  <c r="W18" i="36"/>
  <c r="W19" i="36" s="1"/>
  <c r="W17" i="36"/>
  <c r="V17" i="36"/>
  <c r="T18" i="36"/>
  <c r="T19" i="36" s="1"/>
  <c r="T17" i="36"/>
  <c r="U17" i="36" s="1"/>
  <c r="S17" i="36"/>
  <c r="S18" i="36" s="1"/>
  <c r="Q20" i="36"/>
  <c r="Q21" i="36" s="1"/>
  <c r="Q19" i="36"/>
  <c r="Q18" i="36"/>
  <c r="R18" i="36" s="1"/>
  <c r="R17" i="36"/>
  <c r="P18" i="36" s="1"/>
  <c r="Q17" i="36"/>
  <c r="P17" i="36"/>
  <c r="N20" i="36"/>
  <c r="N21" i="36" s="1"/>
  <c r="N19" i="36"/>
  <c r="N18" i="36"/>
  <c r="O18" i="36" s="1"/>
  <c r="O17" i="36"/>
  <c r="M18" i="36" s="1"/>
  <c r="N17" i="36"/>
  <c r="M17" i="36"/>
  <c r="K20" i="36"/>
  <c r="K19" i="36"/>
  <c r="K18" i="36"/>
  <c r="L18" i="36" s="1"/>
  <c r="L17" i="36"/>
  <c r="J18" i="36" s="1"/>
  <c r="K17" i="36"/>
  <c r="J17" i="36"/>
  <c r="H16" i="36"/>
  <c r="H17" i="36" s="1"/>
  <c r="H18" i="36" s="1"/>
  <c r="E17" i="36"/>
  <c r="E18" i="36" s="1"/>
  <c r="D17" i="36"/>
  <c r="W20" i="19"/>
  <c r="W21" i="19" s="1"/>
  <c r="T19" i="19"/>
  <c r="T20" i="19" s="1"/>
  <c r="Q18" i="19"/>
  <c r="N18" i="19"/>
  <c r="K18" i="19"/>
  <c r="K19" i="19" s="1"/>
  <c r="K17" i="19"/>
  <c r="H16" i="19"/>
  <c r="H17" i="19" s="1"/>
  <c r="E17" i="19"/>
  <c r="F17" i="19" s="1"/>
  <c r="D17" i="19"/>
  <c r="R18" i="19" l="1"/>
  <c r="Q19" i="19"/>
  <c r="Q20" i="19" s="1"/>
  <c r="N19" i="19"/>
  <c r="N20" i="19" s="1"/>
  <c r="AD21" i="28"/>
  <c r="AR20" i="29"/>
  <c r="Z19" i="34"/>
  <c r="AA18" i="34"/>
  <c r="Y19" i="34" s="1"/>
  <c r="X19" i="34"/>
  <c r="W22" i="34"/>
  <c r="V19" i="34"/>
  <c r="S18" i="34"/>
  <c r="U18" i="34"/>
  <c r="T19" i="34"/>
  <c r="U17" i="34"/>
  <c r="R19" i="34"/>
  <c r="Q22" i="34"/>
  <c r="P19" i="34"/>
  <c r="O19" i="34"/>
  <c r="N22" i="34"/>
  <c r="M19" i="34"/>
  <c r="L19" i="34"/>
  <c r="K22" i="34"/>
  <c r="J19" i="34"/>
  <c r="H18" i="34"/>
  <c r="I16" i="34"/>
  <c r="G17" i="34" s="1"/>
  <c r="E19" i="34"/>
  <c r="D18" i="34"/>
  <c r="F17" i="34"/>
  <c r="W20" i="36"/>
  <c r="X17" i="36"/>
  <c r="V18" i="36" s="1"/>
  <c r="S19" i="36"/>
  <c r="T20" i="36"/>
  <c r="U19" i="36"/>
  <c r="U18" i="36"/>
  <c r="R19" i="36"/>
  <c r="Q22" i="36"/>
  <c r="P19" i="36"/>
  <c r="O19" i="36"/>
  <c r="N22" i="36"/>
  <c r="M19" i="36"/>
  <c r="J19" i="36"/>
  <c r="K21" i="36"/>
  <c r="H19" i="36"/>
  <c r="D18" i="36"/>
  <c r="E19" i="36"/>
  <c r="F18" i="36"/>
  <c r="F17" i="36"/>
  <c r="W22" i="19"/>
  <c r="T21" i="19"/>
  <c r="Q21" i="19"/>
  <c r="R19" i="19"/>
  <c r="N21" i="19"/>
  <c r="K20" i="19"/>
  <c r="H18" i="19"/>
  <c r="D18" i="19"/>
  <c r="E18" i="19"/>
  <c r="AG17" i="34"/>
  <c r="AG18" i="34"/>
  <c r="AG19" i="34"/>
  <c r="AG20" i="34"/>
  <c r="AG21" i="34"/>
  <c r="AG22" i="34"/>
  <c r="AG23" i="34"/>
  <c r="AG24" i="34"/>
  <c r="AG25" i="34"/>
  <c r="AG26" i="34"/>
  <c r="AG27" i="34"/>
  <c r="AG28" i="34"/>
  <c r="AG29" i="34"/>
  <c r="AG30" i="34"/>
  <c r="AG31" i="34"/>
  <c r="AG32" i="34"/>
  <c r="AG33" i="34"/>
  <c r="AG34" i="34"/>
  <c r="AG35" i="34"/>
  <c r="AG17" i="36"/>
  <c r="AG18" i="36"/>
  <c r="AG19" i="36"/>
  <c r="AG20" i="36"/>
  <c r="AG21" i="36"/>
  <c r="AG22" i="36"/>
  <c r="AG23" i="36"/>
  <c r="AG24" i="36"/>
  <c r="AG25" i="36"/>
  <c r="AG26" i="36"/>
  <c r="AG27" i="36"/>
  <c r="AG28" i="36"/>
  <c r="AG29" i="36"/>
  <c r="AG30" i="36"/>
  <c r="AG31" i="36"/>
  <c r="AG32" i="36"/>
  <c r="AG33" i="36"/>
  <c r="AG34" i="36"/>
  <c r="AG35" i="36"/>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L45" i="20"/>
  <c r="L18" i="20"/>
  <c r="L20" i="20"/>
  <c r="L22" i="20"/>
  <c r="L24" i="20"/>
  <c r="L26" i="20"/>
  <c r="L28" i="20"/>
  <c r="L30" i="20"/>
  <c r="L32" i="20"/>
  <c r="L34" i="20"/>
  <c r="L36" i="20"/>
  <c r="L38" i="20"/>
  <c r="L40" i="20"/>
  <c r="L42" i="20"/>
  <c r="L44" i="20"/>
  <c r="E17" i="20"/>
  <c r="E18" i="20"/>
  <c r="E19" i="20"/>
  <c r="E20" i="20"/>
  <c r="E21" i="20"/>
  <c r="E22" i="20"/>
  <c r="E23" i="20"/>
  <c r="E24" i="20"/>
  <c r="E25" i="20"/>
  <c r="E26" i="20"/>
  <c r="E27" i="20"/>
  <c r="E28" i="20"/>
  <c r="E29" i="20"/>
  <c r="E30" i="20"/>
  <c r="E31" i="20"/>
  <c r="E32" i="20"/>
  <c r="D17" i="20"/>
  <c r="F17" i="20"/>
  <c r="D18" i="20"/>
  <c r="F18" i="20"/>
  <c r="D19" i="20"/>
  <c r="F19" i="20"/>
  <c r="D20" i="20"/>
  <c r="F20" i="20"/>
  <c r="D21" i="20"/>
  <c r="F21" i="20"/>
  <c r="D22" i="20"/>
  <c r="F22" i="20"/>
  <c r="D23" i="20"/>
  <c r="F23" i="20"/>
  <c r="D24" i="20"/>
  <c r="F24" i="20"/>
  <c r="D25" i="20"/>
  <c r="F25" i="20"/>
  <c r="D26" i="20"/>
  <c r="F26" i="20"/>
  <c r="D27" i="20"/>
  <c r="F27" i="20"/>
  <c r="D28" i="20"/>
  <c r="F28" i="20"/>
  <c r="D29" i="20"/>
  <c r="F29" i="20"/>
  <c r="D30" i="20"/>
  <c r="F30" i="20"/>
  <c r="D31" i="20"/>
  <c r="F31" i="20"/>
  <c r="D32" i="20"/>
  <c r="F32" i="20"/>
  <c r="AG17" i="35"/>
  <c r="AG18" i="35"/>
  <c r="AG19" i="35"/>
  <c r="AG20" i="35"/>
  <c r="AG21" i="35"/>
  <c r="AG22" i="35"/>
  <c r="AG23" i="35"/>
  <c r="AG24" i="35"/>
  <c r="AG25" i="35"/>
  <c r="AG26" i="35"/>
  <c r="AG27" i="35"/>
  <c r="AG28" i="35"/>
  <c r="AG29" i="35"/>
  <c r="AG30" i="35"/>
  <c r="AG31" i="35"/>
  <c r="AG32" i="35"/>
  <c r="AG33" i="35"/>
  <c r="AG34" i="35"/>
  <c r="AG35" i="35"/>
  <c r="H16" i="35"/>
  <c r="H17" i="35" s="1"/>
  <c r="H18" i="35" s="1"/>
  <c r="I15" i="35"/>
  <c r="G16" i="35" s="1"/>
  <c r="I15" i="17"/>
  <c r="G16" i="17" s="1"/>
  <c r="M15" i="17"/>
  <c r="M16" i="17"/>
  <c r="P15" i="17"/>
  <c r="P16" i="17"/>
  <c r="S15" i="17"/>
  <c r="S16" i="17"/>
  <c r="V15" i="17"/>
  <c r="V16" i="17"/>
  <c r="AD17" i="17"/>
  <c r="AD18" i="17"/>
  <c r="AD19" i="17"/>
  <c r="AD20" i="17"/>
  <c r="AD21" i="17"/>
  <c r="AD22" i="17"/>
  <c r="AD23" i="17"/>
  <c r="AD24" i="17"/>
  <c r="AD25" i="17"/>
  <c r="AD26" i="17"/>
  <c r="AD27" i="17"/>
  <c r="AD28" i="17"/>
  <c r="AD29" i="17"/>
  <c r="AD30" i="17"/>
  <c r="AD31" i="17"/>
  <c r="AD32" i="17"/>
  <c r="AD33" i="17"/>
  <c r="AD34" i="17"/>
  <c r="AD35" i="17"/>
  <c r="H16" i="17"/>
  <c r="H17" i="17" s="1"/>
  <c r="H16" i="5"/>
  <c r="H17" i="5" s="1"/>
  <c r="H18" i="5" s="1"/>
  <c r="H19" i="5" s="1"/>
  <c r="H20" i="5" s="1"/>
  <c r="H21" i="5" s="1"/>
  <c r="H22" i="5" s="1"/>
  <c r="H23" i="5" s="1"/>
  <c r="H24" i="5" s="1"/>
  <c r="H25" i="5" s="1"/>
  <c r="H26" i="5" s="1"/>
  <c r="H27" i="5" s="1"/>
  <c r="H28" i="5" s="1"/>
  <c r="H29" i="5" s="1"/>
  <c r="H30" i="5" s="1"/>
  <c r="H31" i="5" s="1"/>
  <c r="H32" i="5" s="1"/>
  <c r="H33" i="5" s="1"/>
  <c r="H6" i="5"/>
  <c r="E17" i="5"/>
  <c r="E18" i="5"/>
  <c r="E19" i="5"/>
  <c r="F16" i="5"/>
  <c r="D17" i="5" s="1"/>
  <c r="K7" i="18"/>
  <c r="L16" i="18"/>
  <c r="L17" i="18" s="1"/>
  <c r="J17" i="18"/>
  <c r="J18" i="18" s="1"/>
  <c r="J19" i="18" s="1"/>
  <c r="L18" i="18"/>
  <c r="L20" i="18"/>
  <c r="L22" i="18"/>
  <c r="L24" i="18"/>
  <c r="L26" i="18"/>
  <c r="L28" i="18"/>
  <c r="L30" i="18"/>
  <c r="L32" i="18"/>
  <c r="L34" i="18"/>
  <c r="L36" i="18"/>
  <c r="L38" i="18"/>
  <c r="L40" i="18"/>
  <c r="L42" i="18"/>
  <c r="L44" i="18"/>
  <c r="H6" i="18"/>
  <c r="H8" i="18" s="1"/>
  <c r="H16" i="18"/>
  <c r="H17" i="18" s="1"/>
  <c r="H18" i="18" s="1"/>
  <c r="H19" i="18" s="1"/>
  <c r="H20" i="18" s="1"/>
  <c r="H21" i="18" s="1"/>
  <c r="H22" i="18" s="1"/>
  <c r="H23" i="18" s="1"/>
  <c r="H24" i="18" s="1"/>
  <c r="H25" i="18" s="1"/>
  <c r="H26" i="18" s="1"/>
  <c r="H27" i="18" s="1"/>
  <c r="H28" i="18" s="1"/>
  <c r="H29" i="18" s="1"/>
  <c r="H30" i="18" s="1"/>
  <c r="H31" i="18" s="1"/>
  <c r="H32" i="18" s="1"/>
  <c r="H7" i="18"/>
  <c r="H6" i="36"/>
  <c r="H8" i="36" s="1"/>
  <c r="H7" i="36"/>
  <c r="V19" i="19"/>
  <c r="S18" i="19"/>
  <c r="P17" i="19"/>
  <c r="Y15" i="35"/>
  <c r="Y16" i="35"/>
  <c r="AA16" i="35"/>
  <c r="Y17" i="35"/>
  <c r="B15" i="34"/>
  <c r="B16" i="34"/>
  <c r="B17" i="34"/>
  <c r="B18" i="34"/>
  <c r="B19" i="34"/>
  <c r="B20" i="34"/>
  <c r="B21" i="34"/>
  <c r="B22" i="34"/>
  <c r="B23" i="34"/>
  <c r="B24" i="34"/>
  <c r="B25" i="34"/>
  <c r="B26" i="34"/>
  <c r="B27" i="34"/>
  <c r="B28" i="34"/>
  <c r="B29" i="34"/>
  <c r="B30" i="34"/>
  <c r="B31" i="34"/>
  <c r="B32" i="34"/>
  <c r="B33" i="34"/>
  <c r="B34" i="34"/>
  <c r="B35" i="34"/>
  <c r="B36" i="34"/>
  <c r="B37" i="34"/>
  <c r="B38" i="34"/>
  <c r="B39" i="34"/>
  <c r="B40" i="34"/>
  <c r="B41" i="34"/>
  <c r="B42" i="34"/>
  <c r="B43" i="34"/>
  <c r="B44" i="34"/>
  <c r="B45" i="34"/>
  <c r="C45" i="34"/>
  <c r="C44" i="34"/>
  <c r="C43" i="34"/>
  <c r="C42" i="34"/>
  <c r="C41" i="34"/>
  <c r="C40" i="34"/>
  <c r="C39" i="34"/>
  <c r="C38" i="34"/>
  <c r="C37" i="34"/>
  <c r="C36" i="34"/>
  <c r="C35" i="34"/>
  <c r="C34" i="34"/>
  <c r="C33" i="34"/>
  <c r="C32" i="34"/>
  <c r="C31" i="34"/>
  <c r="C30" i="34"/>
  <c r="C29" i="34"/>
  <c r="C28" i="34"/>
  <c r="C27" i="34"/>
  <c r="C26" i="34"/>
  <c r="C25" i="34"/>
  <c r="C24" i="34"/>
  <c r="C23" i="34"/>
  <c r="C22" i="34"/>
  <c r="C21" i="34"/>
  <c r="C20" i="34"/>
  <c r="C19" i="34"/>
  <c r="C18" i="34"/>
  <c r="C17" i="34"/>
  <c r="C16" i="34"/>
  <c r="C15" i="34"/>
  <c r="C14" i="34"/>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45" i="19"/>
  <c r="C44" i="19"/>
  <c r="C43" i="19"/>
  <c r="C42" i="19"/>
  <c r="C41" i="19"/>
  <c r="C40" i="19"/>
  <c r="C39" i="19"/>
  <c r="C38" i="19"/>
  <c r="C37" i="19"/>
  <c r="C36" i="19"/>
  <c r="C35" i="19"/>
  <c r="C34" i="19"/>
  <c r="C33" i="19"/>
  <c r="C32" i="19"/>
  <c r="C31" i="19"/>
  <c r="C30" i="19"/>
  <c r="C29" i="19"/>
  <c r="C28" i="19"/>
  <c r="C27" i="19"/>
  <c r="C26" i="19"/>
  <c r="C25" i="19"/>
  <c r="C24" i="19"/>
  <c r="C23" i="19"/>
  <c r="C22" i="19"/>
  <c r="C21" i="19"/>
  <c r="C20" i="19"/>
  <c r="C19" i="19"/>
  <c r="C18" i="19"/>
  <c r="C17" i="19"/>
  <c r="C16" i="19"/>
  <c r="C15" i="19"/>
  <c r="C14" i="19"/>
  <c r="C15" i="20"/>
  <c r="C16" i="20"/>
  <c r="C17" i="20"/>
  <c r="C18" i="20"/>
  <c r="C19" i="20"/>
  <c r="C20" i="20"/>
  <c r="C21" i="20"/>
  <c r="C22" i="20"/>
  <c r="C23" i="20"/>
  <c r="C24" i="20"/>
  <c r="C25" i="20"/>
  <c r="C26" i="20"/>
  <c r="C27" i="20"/>
  <c r="C28" i="20"/>
  <c r="C29" i="20"/>
  <c r="C30" i="20"/>
  <c r="C31" i="20"/>
  <c r="C32" i="20"/>
  <c r="C33" i="20"/>
  <c r="C34" i="20"/>
  <c r="C35" i="20"/>
  <c r="C36" i="20"/>
  <c r="C37" i="20"/>
  <c r="C38" i="20"/>
  <c r="C39" i="20"/>
  <c r="C40" i="20"/>
  <c r="C41" i="20"/>
  <c r="C42" i="20"/>
  <c r="C43" i="20"/>
  <c r="C44" i="20"/>
  <c r="C45" i="20"/>
  <c r="C14" i="20"/>
  <c r="B15" i="35"/>
  <c r="C15" i="35"/>
  <c r="B16" i="35"/>
  <c r="C16" i="35"/>
  <c r="B17" i="35"/>
  <c r="C17" i="35"/>
  <c r="B18" i="35"/>
  <c r="C18" i="35"/>
  <c r="B19" i="35"/>
  <c r="C19" i="35"/>
  <c r="B20" i="35"/>
  <c r="C20" i="35"/>
  <c r="B21" i="35"/>
  <c r="C21" i="35"/>
  <c r="B22" i="35"/>
  <c r="C22" i="35"/>
  <c r="B23" i="35"/>
  <c r="C23" i="35"/>
  <c r="B24" i="35"/>
  <c r="C24" i="35"/>
  <c r="B25" i="35"/>
  <c r="C25" i="35"/>
  <c r="B26" i="35"/>
  <c r="C26" i="35"/>
  <c r="B27" i="35"/>
  <c r="C27" i="35"/>
  <c r="B28" i="35"/>
  <c r="C28" i="35"/>
  <c r="B29" i="35"/>
  <c r="C29" i="35"/>
  <c r="B30" i="35"/>
  <c r="C30" i="35"/>
  <c r="B31" i="35"/>
  <c r="C31" i="35"/>
  <c r="B32" i="35"/>
  <c r="C32" i="35"/>
  <c r="B33" i="35"/>
  <c r="C33" i="35"/>
  <c r="B34" i="35"/>
  <c r="C34" i="35"/>
  <c r="B35" i="35"/>
  <c r="C35" i="35"/>
  <c r="B36" i="35"/>
  <c r="C36" i="35"/>
  <c r="B37" i="35"/>
  <c r="C37" i="35"/>
  <c r="B38" i="35"/>
  <c r="C38" i="35"/>
  <c r="B39" i="35"/>
  <c r="C39" i="35"/>
  <c r="B40" i="35"/>
  <c r="C40" i="35"/>
  <c r="B41" i="35"/>
  <c r="C41" i="35"/>
  <c r="B42" i="35"/>
  <c r="C42" i="35"/>
  <c r="B43" i="35"/>
  <c r="C43" i="35"/>
  <c r="B44" i="35"/>
  <c r="C44" i="35"/>
  <c r="B45" i="35"/>
  <c r="C45" i="35"/>
  <c r="C14" i="35"/>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C45" i="18"/>
  <c r="C44" i="18"/>
  <c r="C43" i="18"/>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6" i="5"/>
  <c r="C20" i="5"/>
  <c r="C24" i="5"/>
  <c r="C28" i="5"/>
  <c r="C14" i="5"/>
  <c r="B15" i="17"/>
  <c r="C15" i="17"/>
  <c r="B16" i="17"/>
  <c r="C16" i="17"/>
  <c r="B17" i="17"/>
  <c r="C17" i="17"/>
  <c r="B18" i="17"/>
  <c r="C18" i="17"/>
  <c r="B19" i="17"/>
  <c r="C19" i="17"/>
  <c r="B20" i="17"/>
  <c r="C20" i="17"/>
  <c r="B21" i="17"/>
  <c r="C21" i="17"/>
  <c r="B22" i="17"/>
  <c r="C22" i="17"/>
  <c r="B23" i="17"/>
  <c r="C23" i="17"/>
  <c r="B24" i="17"/>
  <c r="C24" i="17"/>
  <c r="B25" i="17"/>
  <c r="C25" i="17"/>
  <c r="B26" i="17"/>
  <c r="C26" i="17"/>
  <c r="B27" i="17"/>
  <c r="C27" i="17"/>
  <c r="B28" i="17"/>
  <c r="C28" i="17"/>
  <c r="B29" i="17"/>
  <c r="C29" i="17"/>
  <c r="B30" i="17"/>
  <c r="C30" i="17"/>
  <c r="B31" i="17"/>
  <c r="C31" i="17"/>
  <c r="B32" i="17"/>
  <c r="C32" i="17"/>
  <c r="B33" i="17"/>
  <c r="C33" i="17"/>
  <c r="B34" i="17"/>
  <c r="C34" i="17"/>
  <c r="B35" i="17"/>
  <c r="C35" i="17"/>
  <c r="B36" i="17"/>
  <c r="C36" i="17"/>
  <c r="B37" i="17"/>
  <c r="C37" i="17"/>
  <c r="B38" i="17"/>
  <c r="C38" i="17"/>
  <c r="B39" i="17"/>
  <c r="C39" i="17"/>
  <c r="B40" i="17"/>
  <c r="C40" i="17"/>
  <c r="B41" i="17"/>
  <c r="C41" i="17"/>
  <c r="B42" i="17"/>
  <c r="C42" i="17"/>
  <c r="B43" i="17"/>
  <c r="C43" i="17"/>
  <c r="B44" i="17"/>
  <c r="C44" i="17"/>
  <c r="B45" i="17"/>
  <c r="C45" i="17"/>
  <c r="C14" i="17"/>
  <c r="AD36" i="29"/>
  <c r="AN17" i="29"/>
  <c r="AN18" i="29" s="1"/>
  <c r="AN19" i="29" s="1"/>
  <c r="AN20" i="29" s="1"/>
  <c r="AN21" i="29" s="1"/>
  <c r="AN22" i="29" s="1"/>
  <c r="AN23" i="29" s="1"/>
  <c r="AN24" i="29" s="1"/>
  <c r="AN25" i="29" s="1"/>
  <c r="AN26" i="29" s="1"/>
  <c r="AN27" i="29" s="1"/>
  <c r="AN28" i="29" s="1"/>
  <c r="AN29" i="29" s="1"/>
  <c r="AN30" i="29" s="1"/>
  <c r="AN31" i="29" s="1"/>
  <c r="AN32" i="29" s="1"/>
  <c r="AN33" i="29" s="1"/>
  <c r="AN34" i="29" s="1"/>
  <c r="AN35" i="29" s="1"/>
  <c r="A6" i="40"/>
  <c r="A7" i="40" s="1"/>
  <c r="A8" i="40" s="1"/>
  <c r="A9" i="40" s="1"/>
  <c r="A10" i="40" s="1"/>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M31" i="39"/>
  <c r="M32" i="39"/>
  <c r="M33" i="39"/>
  <c r="M34" i="39"/>
  <c r="M35" i="39"/>
  <c r="M36" i="39"/>
  <c r="M37" i="39"/>
  <c r="M38" i="39"/>
  <c r="M39" i="39"/>
  <c r="M40" i="39"/>
  <c r="L40" i="39"/>
  <c r="F31" i="39"/>
  <c r="F32" i="39"/>
  <c r="F33" i="39"/>
  <c r="F34" i="39"/>
  <c r="F35" i="39"/>
  <c r="F36" i="39"/>
  <c r="F37" i="39"/>
  <c r="F38" i="39"/>
  <c r="F39" i="39"/>
  <c r="F40" i="39"/>
  <c r="E40" i="39"/>
  <c r="G10" i="39"/>
  <c r="W11" i="32"/>
  <c r="W10" i="32"/>
  <c r="K42" i="32"/>
  <c r="E10" i="32"/>
  <c r="K10" i="38"/>
  <c r="K10" i="37"/>
  <c r="E10" i="30"/>
  <c r="K10" i="30"/>
  <c r="O11" i="39"/>
  <c r="A40" i="39"/>
  <c r="B11" i="39"/>
  <c r="B12" i="39"/>
  <c r="B13" i="39"/>
  <c r="B14" i="39"/>
  <c r="B15" i="39"/>
  <c r="B16" i="39"/>
  <c r="B17" i="39"/>
  <c r="B18" i="39"/>
  <c r="B19" i="39"/>
  <c r="B20" i="39"/>
  <c r="B21" i="39"/>
  <c r="B22" i="39"/>
  <c r="B23" i="39"/>
  <c r="B24" i="39"/>
  <c r="B25" i="39"/>
  <c r="B26" i="39"/>
  <c r="B27" i="39"/>
  <c r="B28" i="39"/>
  <c r="B29" i="39"/>
  <c r="B30" i="39"/>
  <c r="B31" i="39"/>
  <c r="B32" i="39"/>
  <c r="B33" i="39"/>
  <c r="B34" i="39"/>
  <c r="B35" i="39"/>
  <c r="B36" i="39"/>
  <c r="B37" i="39"/>
  <c r="B38" i="39"/>
  <c r="B39" i="39"/>
  <c r="Q11" i="37"/>
  <c r="N11" i="39"/>
  <c r="G11" i="39"/>
  <c r="O12" i="39"/>
  <c r="K11" i="30"/>
  <c r="K12" i="30"/>
  <c r="K13" i="30"/>
  <c r="K14" i="30"/>
  <c r="K15" i="30"/>
  <c r="K16" i="30"/>
  <c r="K17" i="30"/>
  <c r="K18" i="30"/>
  <c r="K41" i="30"/>
  <c r="K19" i="30"/>
  <c r="K20" i="30"/>
  <c r="K21" i="30"/>
  <c r="K22" i="30"/>
  <c r="K23" i="30"/>
  <c r="K24" i="30"/>
  <c r="K25" i="30"/>
  <c r="K26" i="30"/>
  <c r="K27" i="30"/>
  <c r="K28" i="30"/>
  <c r="K29" i="30"/>
  <c r="K30" i="30"/>
  <c r="K31" i="30"/>
  <c r="K32" i="30"/>
  <c r="K33" i="30"/>
  <c r="K34" i="30"/>
  <c r="K35" i="30"/>
  <c r="K36" i="30"/>
  <c r="K37" i="30"/>
  <c r="K38" i="30"/>
  <c r="K39" i="30"/>
  <c r="K40" i="30"/>
  <c r="K41" i="38"/>
  <c r="L41" i="38"/>
  <c r="M41" i="38"/>
  <c r="N41" i="38"/>
  <c r="O41" i="38"/>
  <c r="P41" i="38"/>
  <c r="Q41" i="38"/>
  <c r="J41" i="38"/>
  <c r="K41" i="37"/>
  <c r="L41" i="37"/>
  <c r="M41" i="37"/>
  <c r="N41" i="37"/>
  <c r="O41" i="37"/>
  <c r="P41" i="37"/>
  <c r="J41" i="37"/>
  <c r="E41" i="30"/>
  <c r="F41" i="30"/>
  <c r="G41" i="30"/>
  <c r="D41" i="30"/>
  <c r="N12" i="39"/>
  <c r="G12" i="39"/>
  <c r="O13" i="39"/>
  <c r="R36" i="38"/>
  <c r="R10" i="38"/>
  <c r="R38" i="38"/>
  <c r="R11" i="38"/>
  <c r="R12" i="38"/>
  <c r="R13" i="38"/>
  <c r="R14" i="38"/>
  <c r="R15" i="38"/>
  <c r="R16" i="38"/>
  <c r="R17" i="38"/>
  <c r="R18" i="38"/>
  <c r="R19" i="38"/>
  <c r="R20" i="38"/>
  <c r="R21" i="38"/>
  <c r="T21" i="38"/>
  <c r="R22" i="38"/>
  <c r="R23" i="38"/>
  <c r="R24" i="38"/>
  <c r="R25" i="38"/>
  <c r="T25" i="38"/>
  <c r="R26" i="38"/>
  <c r="R27" i="38"/>
  <c r="R28" i="38"/>
  <c r="R29" i="38"/>
  <c r="T29" i="38"/>
  <c r="R30" i="38"/>
  <c r="R31" i="38"/>
  <c r="R32" i="38"/>
  <c r="R33" i="38"/>
  <c r="T33" i="38"/>
  <c r="R34" i="38"/>
  <c r="R35" i="38"/>
  <c r="R37" i="38"/>
  <c r="T13" i="38"/>
  <c r="V42" i="38"/>
  <c r="V46" i="38"/>
  <c r="H40" i="38"/>
  <c r="X40" i="38"/>
  <c r="A40" i="38"/>
  <c r="H39" i="38"/>
  <c r="X39" i="38"/>
  <c r="H38" i="38"/>
  <c r="T38" i="38"/>
  <c r="X37" i="38"/>
  <c r="H37" i="38"/>
  <c r="H36" i="38"/>
  <c r="T36" i="38"/>
  <c r="H35" i="38"/>
  <c r="X35" i="38"/>
  <c r="H34" i="38"/>
  <c r="T34" i="38"/>
  <c r="X33" i="38"/>
  <c r="H33" i="38"/>
  <c r="H32" i="38"/>
  <c r="X32" i="38"/>
  <c r="H31" i="38"/>
  <c r="X31" i="38"/>
  <c r="H30" i="38"/>
  <c r="T30" i="38"/>
  <c r="X29" i="38"/>
  <c r="H29" i="38"/>
  <c r="H28" i="38"/>
  <c r="X28" i="38"/>
  <c r="H27" i="38"/>
  <c r="X27" i="38"/>
  <c r="H26" i="38"/>
  <c r="T26" i="38"/>
  <c r="X25" i="38"/>
  <c r="H25" i="38"/>
  <c r="H24" i="38"/>
  <c r="X24" i="38"/>
  <c r="H23" i="38"/>
  <c r="X23" i="38"/>
  <c r="H22" i="38"/>
  <c r="T22" i="38"/>
  <c r="X21" i="38"/>
  <c r="H21" i="38"/>
  <c r="H20" i="38"/>
  <c r="X20" i="38"/>
  <c r="H19" i="38"/>
  <c r="X19" i="38"/>
  <c r="H18" i="38"/>
  <c r="T18" i="38"/>
  <c r="X17" i="38"/>
  <c r="H17" i="38"/>
  <c r="T17" i="38"/>
  <c r="X16" i="38"/>
  <c r="H16" i="38"/>
  <c r="H15" i="38"/>
  <c r="X15" i="38"/>
  <c r="T14" i="38"/>
  <c r="H14" i="38"/>
  <c r="X14" i="38"/>
  <c r="X13" i="38"/>
  <c r="H13" i="38"/>
  <c r="X12" i="38"/>
  <c r="H12" i="38"/>
  <c r="H11" i="38"/>
  <c r="X11" i="38"/>
  <c r="B11" i="38"/>
  <c r="B12" i="38"/>
  <c r="B13" i="38"/>
  <c r="B14" i="38"/>
  <c r="B15" i="38"/>
  <c r="B16" i="38"/>
  <c r="B17" i="38"/>
  <c r="B18" i="38"/>
  <c r="B19" i="38"/>
  <c r="B20" i="38"/>
  <c r="B21" i="38"/>
  <c r="B22" i="38"/>
  <c r="B23" i="38"/>
  <c r="B24" i="38"/>
  <c r="B25" i="38"/>
  <c r="B26" i="38"/>
  <c r="B27" i="38"/>
  <c r="B28" i="38"/>
  <c r="B29" i="38"/>
  <c r="B30" i="38"/>
  <c r="B31" i="38"/>
  <c r="B32" i="38"/>
  <c r="B33" i="38"/>
  <c r="B34" i="38"/>
  <c r="B35" i="38"/>
  <c r="B36" i="38"/>
  <c r="B37" i="38"/>
  <c r="B38" i="38"/>
  <c r="B39" i="38"/>
  <c r="X10" i="38"/>
  <c r="H10" i="38"/>
  <c r="Q12" i="37"/>
  <c r="Q13" i="37"/>
  <c r="Q14" i="37"/>
  <c r="Q15" i="37"/>
  <c r="Q16" i="37"/>
  <c r="Q17" i="37"/>
  <c r="Q18" i="37"/>
  <c r="Q19" i="37"/>
  <c r="Q20" i="37"/>
  <c r="Q21" i="37"/>
  <c r="Q22" i="37"/>
  <c r="Q23" i="37"/>
  <c r="Q24" i="37"/>
  <c r="Q25" i="37"/>
  <c r="Q26" i="37"/>
  <c r="Q27" i="37"/>
  <c r="Q28" i="37"/>
  <c r="Q29" i="37"/>
  <c r="Q30" i="37"/>
  <c r="Q31" i="37"/>
  <c r="Q32" i="37"/>
  <c r="Q33" i="37"/>
  <c r="Q34" i="37"/>
  <c r="Q35" i="37"/>
  <c r="Q36" i="37"/>
  <c r="Q37" i="37"/>
  <c r="Q38" i="37"/>
  <c r="Q39" i="37"/>
  <c r="Q40" i="37"/>
  <c r="S12" i="37"/>
  <c r="S36" i="37"/>
  <c r="Q10" i="37"/>
  <c r="L41" i="30"/>
  <c r="M41" i="30"/>
  <c r="N41" i="30"/>
  <c r="O41" i="30"/>
  <c r="P41" i="30"/>
  <c r="R41" i="30"/>
  <c r="T41" i="30"/>
  <c r="U41" i="30"/>
  <c r="V41" i="30"/>
  <c r="U42" i="37"/>
  <c r="U48" i="37"/>
  <c r="H40" i="37"/>
  <c r="S40" i="37"/>
  <c r="A40" i="37"/>
  <c r="W39" i="37"/>
  <c r="H39" i="37"/>
  <c r="H38" i="37"/>
  <c r="H37" i="37"/>
  <c r="W37" i="37"/>
  <c r="W36" i="37"/>
  <c r="H36" i="37"/>
  <c r="H35" i="37"/>
  <c r="W35" i="37"/>
  <c r="H34" i="37"/>
  <c r="H33" i="37"/>
  <c r="W33" i="37"/>
  <c r="H32" i="37"/>
  <c r="W32" i="37"/>
  <c r="W31" i="37"/>
  <c r="H31" i="37"/>
  <c r="H30" i="37"/>
  <c r="H29" i="37"/>
  <c r="W29" i="37"/>
  <c r="W28" i="37"/>
  <c r="H28" i="37"/>
  <c r="S28" i="37"/>
  <c r="H27" i="37"/>
  <c r="W27" i="37"/>
  <c r="H26" i="37"/>
  <c r="H25" i="37"/>
  <c r="W25" i="37"/>
  <c r="H24" i="37"/>
  <c r="W24" i="37"/>
  <c r="W23" i="37"/>
  <c r="H23" i="37"/>
  <c r="H22" i="37"/>
  <c r="H21" i="37"/>
  <c r="W21" i="37"/>
  <c r="W20" i="37"/>
  <c r="H20" i="37"/>
  <c r="S20" i="37"/>
  <c r="H19" i="37"/>
  <c r="W19" i="37"/>
  <c r="H18" i="37"/>
  <c r="H17" i="37"/>
  <c r="W17" i="37"/>
  <c r="H16" i="37"/>
  <c r="W16" i="37"/>
  <c r="W15" i="37"/>
  <c r="H15" i="37"/>
  <c r="H14" i="37"/>
  <c r="H13" i="37"/>
  <c r="W13" i="37"/>
  <c r="W12" i="37"/>
  <c r="H12" i="37"/>
  <c r="H11" i="37"/>
  <c r="W11" i="37"/>
  <c r="B11" i="37"/>
  <c r="B12" i="37"/>
  <c r="B13" i="37"/>
  <c r="B14" i="37"/>
  <c r="B15" i="37"/>
  <c r="B16" i="37"/>
  <c r="B17" i="37"/>
  <c r="B18" i="37"/>
  <c r="B19" i="37"/>
  <c r="B20" i="37"/>
  <c r="B21" i="37"/>
  <c r="B22" i="37"/>
  <c r="B23" i="37"/>
  <c r="B24" i="37"/>
  <c r="B25" i="37"/>
  <c r="B26" i="37"/>
  <c r="B27" i="37"/>
  <c r="B28" i="37"/>
  <c r="B29" i="37"/>
  <c r="B30" i="37"/>
  <c r="B31" i="37"/>
  <c r="B32" i="37"/>
  <c r="B33" i="37"/>
  <c r="B34" i="37"/>
  <c r="B35" i="37"/>
  <c r="B36" i="37"/>
  <c r="B37" i="37"/>
  <c r="B38" i="37"/>
  <c r="B39" i="37"/>
  <c r="H10" i="37"/>
  <c r="H42" i="37"/>
  <c r="S16" i="37"/>
  <c r="W40" i="37"/>
  <c r="S32" i="37"/>
  <c r="S39" i="37"/>
  <c r="S35" i="37"/>
  <c r="S31" i="37"/>
  <c r="S27" i="37"/>
  <c r="S23" i="37"/>
  <c r="S15" i="37"/>
  <c r="X18" i="38"/>
  <c r="X22" i="38"/>
  <c r="X26" i="38"/>
  <c r="X30" i="38"/>
  <c r="X34" i="38"/>
  <c r="X38" i="38"/>
  <c r="S19" i="37"/>
  <c r="S24" i="37"/>
  <c r="R41" i="38"/>
  <c r="X36" i="38"/>
  <c r="T37" i="38"/>
  <c r="N13" i="39"/>
  <c r="G13" i="39"/>
  <c r="S10" i="37"/>
  <c r="Q41" i="37"/>
  <c r="Q42" i="37"/>
  <c r="O14" i="39"/>
  <c r="T40" i="38"/>
  <c r="T16" i="38"/>
  <c r="T32" i="38"/>
  <c r="T20" i="38"/>
  <c r="T12" i="38"/>
  <c r="T28" i="38"/>
  <c r="T24" i="38"/>
  <c r="T10" i="38"/>
  <c r="R42" i="38"/>
  <c r="T11" i="38"/>
  <c r="T15" i="38"/>
  <c r="T19" i="38"/>
  <c r="T23" i="38"/>
  <c r="T27" i="38"/>
  <c r="T31" i="38"/>
  <c r="T35" i="38"/>
  <c r="T39" i="38"/>
  <c r="H42" i="38"/>
  <c r="V48" i="38"/>
  <c r="S11" i="37"/>
  <c r="S14" i="37"/>
  <c r="S22" i="37"/>
  <c r="S30" i="37"/>
  <c r="S38" i="37"/>
  <c r="S18" i="37"/>
  <c r="S26" i="37"/>
  <c r="S34" i="37"/>
  <c r="H46" i="37"/>
  <c r="H48" i="37"/>
  <c r="W10" i="37"/>
  <c r="W14" i="37"/>
  <c r="W18" i="37"/>
  <c r="W22" i="37"/>
  <c r="W26" i="37"/>
  <c r="W30" i="37"/>
  <c r="W34" i="37"/>
  <c r="W38" i="37"/>
  <c r="U46" i="37"/>
  <c r="S13" i="37"/>
  <c r="S17" i="37"/>
  <c r="S21" i="37"/>
  <c r="S25" i="37"/>
  <c r="S29" i="37"/>
  <c r="S33" i="37"/>
  <c r="S37" i="37"/>
  <c r="Y15" i="34"/>
  <c r="AJ15" i="29"/>
  <c r="AK17" i="29"/>
  <c r="AK18" i="29" s="1"/>
  <c r="AK19" i="29" s="1"/>
  <c r="AK20" i="29" s="1"/>
  <c r="AK21" i="29" s="1"/>
  <c r="AK22" i="29" s="1"/>
  <c r="AK23" i="29" s="1"/>
  <c r="AK24" i="29" s="1"/>
  <c r="AK25" i="29" s="1"/>
  <c r="AK26" i="29" s="1"/>
  <c r="AK27" i="29" s="1"/>
  <c r="AK28" i="29" s="1"/>
  <c r="AK29" i="29" s="1"/>
  <c r="AK30" i="29" s="1"/>
  <c r="AK31" i="29" s="1"/>
  <c r="AK32" i="29" s="1"/>
  <c r="AK33" i="29" s="1"/>
  <c r="AK34" i="29" s="1"/>
  <c r="AK35" i="29" s="1"/>
  <c r="AK7" i="29"/>
  <c r="AK6" i="29"/>
  <c r="AK8" i="29" s="1"/>
  <c r="AH17" i="29"/>
  <c r="AH18" i="29" s="1"/>
  <c r="AH19" i="29" s="1"/>
  <c r="AH20" i="29" s="1"/>
  <c r="AH21" i="29" s="1"/>
  <c r="AH22" i="29" s="1"/>
  <c r="AH23" i="29" s="1"/>
  <c r="AH24" i="29" s="1"/>
  <c r="AH25" i="29" s="1"/>
  <c r="AH26" i="29" s="1"/>
  <c r="AH27" i="29" s="1"/>
  <c r="AH28" i="29" s="1"/>
  <c r="AH29" i="29" s="1"/>
  <c r="AH30" i="29" s="1"/>
  <c r="AH31" i="29" s="1"/>
  <c r="AH32" i="29" s="1"/>
  <c r="AH33" i="29" s="1"/>
  <c r="AH34" i="29" s="1"/>
  <c r="AH35" i="29" s="1"/>
  <c r="AE17" i="29"/>
  <c r="AE18" i="29" s="1"/>
  <c r="AE19" i="29" s="1"/>
  <c r="AE20" i="29" s="1"/>
  <c r="AE21" i="29" s="1"/>
  <c r="AE22" i="29" s="1"/>
  <c r="AE23" i="29" s="1"/>
  <c r="AE24" i="29" s="1"/>
  <c r="AE25" i="29" s="1"/>
  <c r="AE26" i="29" s="1"/>
  <c r="AE27" i="29" s="1"/>
  <c r="AE28" i="29" s="1"/>
  <c r="AE29" i="29" s="1"/>
  <c r="AE30" i="29" s="1"/>
  <c r="AE31" i="29" s="1"/>
  <c r="AE32" i="29" s="1"/>
  <c r="AE33" i="29" s="1"/>
  <c r="AE34" i="29" s="1"/>
  <c r="AE35" i="29" s="1"/>
  <c r="AB17" i="29"/>
  <c r="AB18" i="29" s="1"/>
  <c r="AB19" i="29" s="1"/>
  <c r="AB20" i="29" s="1"/>
  <c r="AB21" i="29" s="1"/>
  <c r="AB22" i="29" s="1"/>
  <c r="AB23" i="29" s="1"/>
  <c r="AB24" i="29" s="1"/>
  <c r="AB25" i="29" s="1"/>
  <c r="AB26" i="29" s="1"/>
  <c r="AB27" i="29" s="1"/>
  <c r="AB28" i="29" s="1"/>
  <c r="AB29" i="29" s="1"/>
  <c r="AB30" i="29" s="1"/>
  <c r="AB31" i="29" s="1"/>
  <c r="AB32" i="29" s="1"/>
  <c r="AB33" i="29" s="1"/>
  <c r="AB34" i="29" s="1"/>
  <c r="AB35" i="29" s="1"/>
  <c r="AH7" i="29"/>
  <c r="AE7" i="29"/>
  <c r="AH6" i="29"/>
  <c r="AH8" i="29" s="1"/>
  <c r="AE6" i="29"/>
  <c r="AE8" i="29" s="1"/>
  <c r="J16" i="29"/>
  <c r="J15" i="29"/>
  <c r="J14" i="29"/>
  <c r="G15" i="29"/>
  <c r="Y16" i="34"/>
  <c r="AB15" i="35"/>
  <c r="AJ16" i="29"/>
  <c r="Z17" i="35"/>
  <c r="Z18" i="35"/>
  <c r="Z19" i="35"/>
  <c r="Z20" i="35"/>
  <c r="Z21" i="35"/>
  <c r="Y14" i="28"/>
  <c r="W17" i="28"/>
  <c r="W18" i="28"/>
  <c r="W19" i="28"/>
  <c r="W20" i="28" s="1"/>
  <c r="W21" i="28" s="1"/>
  <c r="W22" i="28" s="1"/>
  <c r="W23" i="28" s="1"/>
  <c r="W24" i="28" s="1"/>
  <c r="W25" i="28" s="1"/>
  <c r="W26" i="28" s="1"/>
  <c r="W27" i="28" s="1"/>
  <c r="W28" i="28" s="1"/>
  <c r="W29" i="28" s="1"/>
  <c r="W30" i="28" s="1"/>
  <c r="W31" i="28" s="1"/>
  <c r="W32" i="28" s="1"/>
  <c r="W33" i="28" s="1"/>
  <c r="W34" i="28" s="1"/>
  <c r="W35" i="28" s="1"/>
  <c r="T17" i="28"/>
  <c r="T18" i="28" s="1"/>
  <c r="T19" i="28" s="1"/>
  <c r="T20" i="28" s="1"/>
  <c r="T21" i="28" s="1"/>
  <c r="T22" i="28" s="1"/>
  <c r="T23" i="28" s="1"/>
  <c r="T24" i="28" s="1"/>
  <c r="T25" i="28" s="1"/>
  <c r="T26" i="28" s="1"/>
  <c r="T27" i="28" s="1"/>
  <c r="T28" i="28" s="1"/>
  <c r="T29" i="28" s="1"/>
  <c r="T30" i="28" s="1"/>
  <c r="T31" i="28" s="1"/>
  <c r="T32" i="28" s="1"/>
  <c r="T33" i="28" s="1"/>
  <c r="T34" i="28" s="1"/>
  <c r="T35" i="28" s="1"/>
  <c r="Q17" i="28"/>
  <c r="J16" i="28"/>
  <c r="L16" i="28" s="1"/>
  <c r="J15" i="28"/>
  <c r="J14" i="28"/>
  <c r="G15" i="28"/>
  <c r="V43" i="38"/>
  <c r="V44" i="38"/>
  <c r="N14" i="39"/>
  <c r="G14" i="39"/>
  <c r="O15" i="39"/>
  <c r="R46" i="38"/>
  <c r="R48" i="38"/>
  <c r="R44" i="38"/>
  <c r="H48" i="38"/>
  <c r="H46" i="38"/>
  <c r="R43" i="38"/>
  <c r="Q43" i="37"/>
  <c r="Q48" i="37"/>
  <c r="Q44" i="37"/>
  <c r="Q46" i="37"/>
  <c r="U43" i="37"/>
  <c r="U44" i="37"/>
  <c r="AA16" i="34"/>
  <c r="Z22" i="35"/>
  <c r="Q18" i="28"/>
  <c r="Q19" i="28" s="1"/>
  <c r="Q20" i="28" s="1"/>
  <c r="Q21" i="28" s="1"/>
  <c r="Q22" i="28" s="1"/>
  <c r="Q23" i="28" s="1"/>
  <c r="Q24" i="28" s="1"/>
  <c r="Q25" i="28" s="1"/>
  <c r="Q26" i="28" s="1"/>
  <c r="Q27" i="28" s="1"/>
  <c r="Q28" i="28" s="1"/>
  <c r="Q29" i="28" s="1"/>
  <c r="Q30" i="28" s="1"/>
  <c r="Q31" i="28" s="1"/>
  <c r="Q32" i="28" s="1"/>
  <c r="Q33" i="28" s="1"/>
  <c r="Q34" i="28" s="1"/>
  <c r="Q35" i="28" s="1"/>
  <c r="Y15" i="27"/>
  <c r="Y14" i="27"/>
  <c r="V16" i="27"/>
  <c r="V15" i="27"/>
  <c r="S15" i="27"/>
  <c r="J16" i="27"/>
  <c r="J15" i="27"/>
  <c r="J14" i="27"/>
  <c r="G15" i="27"/>
  <c r="V15" i="35"/>
  <c r="V15" i="34"/>
  <c r="AG15" i="29"/>
  <c r="S15" i="35"/>
  <c r="P15" i="35"/>
  <c r="V15" i="36"/>
  <c r="V16" i="36"/>
  <c r="X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S15" i="36"/>
  <c r="S16" i="36"/>
  <c r="U16" i="36"/>
  <c r="L16" i="36"/>
  <c r="F16" i="36"/>
  <c r="P15" i="36"/>
  <c r="P16" i="36"/>
  <c r="R16" i="36"/>
  <c r="M15" i="36"/>
  <c r="M16" i="36"/>
  <c r="O16" i="36"/>
  <c r="S15" i="34"/>
  <c r="P15" i="34"/>
  <c r="AA15" i="29"/>
  <c r="AL16" i="29"/>
  <c r="AB15" i="36"/>
  <c r="AD15" i="29"/>
  <c r="N15" i="39"/>
  <c r="G15" i="39"/>
  <c r="O16" i="39"/>
  <c r="AJ17" i="29"/>
  <c r="Z23" i="35"/>
  <c r="N16" i="39"/>
  <c r="G16" i="39"/>
  <c r="N17" i="39"/>
  <c r="O17" i="39"/>
  <c r="AA17" i="35"/>
  <c r="AL17" i="29"/>
  <c r="Z24" i="35"/>
  <c r="Y18" i="35"/>
  <c r="AJ18" i="29"/>
  <c r="G17" i="39"/>
  <c r="N18" i="39"/>
  <c r="G18" i="39"/>
  <c r="O18" i="39"/>
  <c r="Z25" i="35"/>
  <c r="AA18" i="35"/>
  <c r="AL18" i="29"/>
  <c r="Y19" i="35"/>
  <c r="O19" i="39"/>
  <c r="N19" i="39"/>
  <c r="Z26" i="35"/>
  <c r="G19" i="39"/>
  <c r="N20" i="39"/>
  <c r="G20" i="39"/>
  <c r="AA19" i="35"/>
  <c r="O20" i="39"/>
  <c r="Z27" i="35"/>
  <c r="Y20" i="35"/>
  <c r="N21" i="39"/>
  <c r="O21" i="39"/>
  <c r="Z28" i="35"/>
  <c r="G21" i="39"/>
  <c r="N22" i="39"/>
  <c r="G22" i="39"/>
  <c r="AA20" i="35"/>
  <c r="O22" i="39"/>
  <c r="Z29" i="35"/>
  <c r="Y21" i="35"/>
  <c r="O23" i="39"/>
  <c r="N23" i="39"/>
  <c r="Z30" i="35"/>
  <c r="AA21" i="35"/>
  <c r="G23" i="39"/>
  <c r="N24" i="39"/>
  <c r="G24" i="39"/>
  <c r="O24" i="39"/>
  <c r="Z31" i="35"/>
  <c r="Y22" i="35"/>
  <c r="N25" i="39"/>
  <c r="G25" i="39"/>
  <c r="O25" i="39"/>
  <c r="Z32" i="35"/>
  <c r="AA22" i="35"/>
  <c r="O26" i="39"/>
  <c r="N26" i="39"/>
  <c r="G26" i="39"/>
  <c r="Z33" i="35"/>
  <c r="Y23" i="35"/>
  <c r="O27" i="39"/>
  <c r="N27" i="39"/>
  <c r="Z34" i="35"/>
  <c r="AA23" i="35"/>
  <c r="N28" i="39"/>
  <c r="O28" i="39"/>
  <c r="Z35" i="35"/>
  <c r="Y24" i="35"/>
  <c r="N29" i="39"/>
  <c r="O29" i="39"/>
  <c r="AA24" i="35"/>
  <c r="O30" i="39"/>
  <c r="N30" i="39"/>
  <c r="Y25" i="35"/>
  <c r="AA25" i="35"/>
  <c r="Y26" i="35"/>
  <c r="AA26" i="35"/>
  <c r="Y27" i="35"/>
  <c r="AA27" i="35"/>
  <c r="Y28" i="35"/>
  <c r="AA28" i="35"/>
  <c r="Y29" i="35"/>
  <c r="AA29" i="35"/>
  <c r="Y30" i="35"/>
  <c r="AA30" i="35"/>
  <c r="Y31" i="35"/>
  <c r="AA31" i="35"/>
  <c r="Y32" i="35"/>
  <c r="AA32" i="35"/>
  <c r="Y33" i="35"/>
  <c r="AA33" i="35"/>
  <c r="Y34" i="35"/>
  <c r="AA34" i="35"/>
  <c r="Y35" i="35"/>
  <c r="AA35" i="35"/>
  <c r="V16" i="34"/>
  <c r="X16" i="34"/>
  <c r="S16" i="34"/>
  <c r="P16" i="34"/>
  <c r="R16" i="34"/>
  <c r="M15" i="34"/>
  <c r="AB15" i="34"/>
  <c r="AM15" i="29"/>
  <c r="M16" i="34"/>
  <c r="O16" i="34"/>
  <c r="U16" i="34"/>
  <c r="M15" i="35"/>
  <c r="M15" i="29"/>
  <c r="M15" i="28"/>
  <c r="V15" i="28"/>
  <c r="S15" i="28"/>
  <c r="P15" i="28"/>
  <c r="V17" i="5"/>
  <c r="V17" i="27" s="1"/>
  <c r="X17" i="27" s="1"/>
  <c r="S16" i="5"/>
  <c r="P15" i="5"/>
  <c r="P15" i="27" s="1"/>
  <c r="V16" i="35"/>
  <c r="S16" i="35"/>
  <c r="P16" i="35"/>
  <c r="M16" i="35"/>
  <c r="W17" i="35"/>
  <c r="T17" i="35"/>
  <c r="AC17" i="35"/>
  <c r="AC18" i="35"/>
  <c r="AC19" i="35"/>
  <c r="AC20" i="35"/>
  <c r="AC21" i="35"/>
  <c r="AC22" i="35"/>
  <c r="AC23" i="35"/>
  <c r="AC24" i="35"/>
  <c r="AC25" i="35"/>
  <c r="AC26" i="35"/>
  <c r="AC27" i="35"/>
  <c r="AC28" i="35"/>
  <c r="AC29" i="35"/>
  <c r="AC30" i="35"/>
  <c r="AC31" i="35"/>
  <c r="AC32" i="35"/>
  <c r="AC33" i="35"/>
  <c r="AC34" i="35"/>
  <c r="AC35" i="35"/>
  <c r="Q17" i="35"/>
  <c r="N17" i="35"/>
  <c r="K17" i="35"/>
  <c r="K18" i="35"/>
  <c r="E17" i="35"/>
  <c r="E18" i="35"/>
  <c r="A17" i="35"/>
  <c r="A18" i="35"/>
  <c r="A19" i="35"/>
  <c r="A20" i="35"/>
  <c r="A21" i="35"/>
  <c r="A22" i="35"/>
  <c r="A23" i="35"/>
  <c r="A24" i="35"/>
  <c r="A25" i="35"/>
  <c r="A26" i="35"/>
  <c r="A27" i="35"/>
  <c r="A28" i="35"/>
  <c r="A29" i="35"/>
  <c r="A30" i="35"/>
  <c r="A31" i="35"/>
  <c r="A32" i="35"/>
  <c r="A33" i="35"/>
  <c r="A34" i="35"/>
  <c r="A35" i="35"/>
  <c r="A36" i="35"/>
  <c r="A37" i="35"/>
  <c r="A38" i="35"/>
  <c r="A39" i="35"/>
  <c r="A40" i="35"/>
  <c r="A41" i="35"/>
  <c r="A42" i="35"/>
  <c r="A43" i="35"/>
  <c r="A44" i="35"/>
  <c r="A45" i="35"/>
  <c r="L16" i="35"/>
  <c r="F16" i="35"/>
  <c r="D17" i="35"/>
  <c r="U16" i="17"/>
  <c r="U16" i="28"/>
  <c r="S16" i="28"/>
  <c r="T18" i="35"/>
  <c r="U16" i="35"/>
  <c r="AF16" i="29"/>
  <c r="AD16" i="29"/>
  <c r="O16" i="17"/>
  <c r="M16" i="28"/>
  <c r="O16" i="28"/>
  <c r="Q18" i="35"/>
  <c r="J17" i="35"/>
  <c r="N18" i="35"/>
  <c r="X16" i="35"/>
  <c r="AI16" i="29"/>
  <c r="AG16" i="29"/>
  <c r="M16" i="29"/>
  <c r="O16" i="35"/>
  <c r="O16" i="29"/>
  <c r="R16" i="17"/>
  <c r="R16" i="28"/>
  <c r="P16" i="28"/>
  <c r="R16" i="35"/>
  <c r="AC16" i="29"/>
  <c r="AA16" i="29"/>
  <c r="P17" i="35"/>
  <c r="AA17" i="29"/>
  <c r="V17" i="35"/>
  <c r="L17" i="35"/>
  <c r="S17" i="17"/>
  <c r="S17" i="28"/>
  <c r="K19" i="35"/>
  <c r="F17" i="35"/>
  <c r="S17" i="35"/>
  <c r="AD17" i="29"/>
  <c r="W18" i="35"/>
  <c r="E19" i="35"/>
  <c r="Q19" i="35"/>
  <c r="U17" i="35"/>
  <c r="AF17" i="29"/>
  <c r="J18" i="35"/>
  <c r="R17" i="35"/>
  <c r="AC17" i="29"/>
  <c r="X17" i="35"/>
  <c r="AG17" i="29"/>
  <c r="N19" i="35"/>
  <c r="N20" i="35"/>
  <c r="D18" i="35"/>
  <c r="F18" i="35"/>
  <c r="T19" i="35"/>
  <c r="T20" i="35"/>
  <c r="T21" i="35"/>
  <c r="P18" i="35"/>
  <c r="AA18" i="29"/>
  <c r="M17" i="35"/>
  <c r="S18" i="35"/>
  <c r="AD18" i="29"/>
  <c r="Q20" i="35"/>
  <c r="E20" i="35"/>
  <c r="W19" i="35"/>
  <c r="K20" i="35"/>
  <c r="D19" i="35"/>
  <c r="N21" i="35"/>
  <c r="T22" i="35"/>
  <c r="L18" i="35"/>
  <c r="J19" i="35"/>
  <c r="U18" i="35"/>
  <c r="AF18" i="29"/>
  <c r="O17" i="35"/>
  <c r="V18" i="35"/>
  <c r="AI17" i="29"/>
  <c r="R18" i="35"/>
  <c r="AC18" i="29"/>
  <c r="K21" i="35"/>
  <c r="W20" i="35"/>
  <c r="S19" i="35"/>
  <c r="T23" i="35"/>
  <c r="F19" i="35"/>
  <c r="N22" i="35"/>
  <c r="E21" i="35"/>
  <c r="Q21" i="35"/>
  <c r="L19" i="35"/>
  <c r="AG18" i="29"/>
  <c r="X18" i="35"/>
  <c r="U19" i="35"/>
  <c r="M18" i="35"/>
  <c r="P19" i="35"/>
  <c r="AA19" i="29"/>
  <c r="Q22" i="35"/>
  <c r="N23" i="35"/>
  <c r="T24" i="35"/>
  <c r="W21" i="35"/>
  <c r="K22" i="35"/>
  <c r="E22" i="35"/>
  <c r="D20" i="35"/>
  <c r="V19" i="35"/>
  <c r="AI18" i="29"/>
  <c r="O18" i="35"/>
  <c r="S20" i="35"/>
  <c r="J20" i="35"/>
  <c r="R19" i="35"/>
  <c r="AC19" i="29"/>
  <c r="T25" i="35"/>
  <c r="N24" i="35"/>
  <c r="F20" i="35"/>
  <c r="K23" i="35"/>
  <c r="E23" i="35"/>
  <c r="W22" i="35"/>
  <c r="Q23" i="35"/>
  <c r="L20" i="35"/>
  <c r="U20" i="35"/>
  <c r="AG19" i="29"/>
  <c r="X19" i="35"/>
  <c r="M19" i="35"/>
  <c r="P20" i="35"/>
  <c r="T26" i="35"/>
  <c r="Q24" i="35"/>
  <c r="W23" i="35"/>
  <c r="N25" i="35"/>
  <c r="K24" i="35"/>
  <c r="D21" i="35"/>
  <c r="E24" i="35"/>
  <c r="V20" i="35"/>
  <c r="AI19" i="29"/>
  <c r="S21" i="35"/>
  <c r="J21" i="35"/>
  <c r="O19" i="35"/>
  <c r="R20" i="35"/>
  <c r="Q25" i="35"/>
  <c r="F21" i="35"/>
  <c r="W24" i="35"/>
  <c r="T27" i="35"/>
  <c r="E25" i="35"/>
  <c r="K25" i="35"/>
  <c r="N26" i="35"/>
  <c r="D22" i="35"/>
  <c r="U21" i="35"/>
  <c r="S22" i="35"/>
  <c r="L21" i="35"/>
  <c r="J22" i="35"/>
  <c r="X20" i="35"/>
  <c r="M20" i="35"/>
  <c r="P21" i="35"/>
  <c r="F22" i="35"/>
  <c r="N27" i="35"/>
  <c r="E26" i="35"/>
  <c r="W25" i="35"/>
  <c r="K26" i="35"/>
  <c r="T28" i="35"/>
  <c r="Q26" i="35"/>
  <c r="D23" i="35"/>
  <c r="V21" i="35"/>
  <c r="O20" i="35"/>
  <c r="L22" i="35"/>
  <c r="U22" i="35"/>
  <c r="S23" i="35"/>
  <c r="R21" i="35"/>
  <c r="E27" i="35"/>
  <c r="K27" i="35"/>
  <c r="F23" i="35"/>
  <c r="T29" i="35"/>
  <c r="W26" i="35"/>
  <c r="Q27" i="35"/>
  <c r="N28" i="35"/>
  <c r="J23" i="35"/>
  <c r="U23" i="35"/>
  <c r="X21" i="35"/>
  <c r="V22" i="35"/>
  <c r="M21" i="35"/>
  <c r="P22" i="35"/>
  <c r="K28" i="35"/>
  <c r="T30" i="35"/>
  <c r="Q28" i="35"/>
  <c r="D24" i="35"/>
  <c r="N29" i="35"/>
  <c r="W27" i="35"/>
  <c r="E28" i="35"/>
  <c r="O21" i="35"/>
  <c r="S24" i="35"/>
  <c r="L23" i="35"/>
  <c r="X22" i="35"/>
  <c r="R22" i="35"/>
  <c r="W28" i="35"/>
  <c r="Q29" i="35"/>
  <c r="F24" i="35"/>
  <c r="T31" i="35"/>
  <c r="E29" i="35"/>
  <c r="N30" i="35"/>
  <c r="K29" i="35"/>
  <c r="J24" i="35"/>
  <c r="M22" i="35"/>
  <c r="V23" i="35"/>
  <c r="U24" i="35"/>
  <c r="S25" i="35"/>
  <c r="O22" i="35"/>
  <c r="P23" i="35"/>
  <c r="Q30" i="35"/>
  <c r="N31" i="35"/>
  <c r="D25" i="35"/>
  <c r="E30" i="35"/>
  <c r="K30" i="35"/>
  <c r="T32" i="35"/>
  <c r="W29" i="35"/>
  <c r="U25" i="35"/>
  <c r="X23" i="35"/>
  <c r="L24" i="35"/>
  <c r="M23" i="35"/>
  <c r="R23" i="35"/>
  <c r="W30" i="35"/>
  <c r="E31" i="35"/>
  <c r="N32" i="35"/>
  <c r="T33" i="35"/>
  <c r="F25" i="35"/>
  <c r="Q31" i="35"/>
  <c r="K31" i="35"/>
  <c r="V24" i="35"/>
  <c r="S26" i="35"/>
  <c r="J25" i="35"/>
  <c r="O23" i="35"/>
  <c r="P24" i="35"/>
  <c r="Q32" i="35"/>
  <c r="W31" i="35"/>
  <c r="D26" i="35"/>
  <c r="T34" i="35"/>
  <c r="N33" i="35"/>
  <c r="K32" i="35"/>
  <c r="E32" i="35"/>
  <c r="U26" i="35"/>
  <c r="S27" i="35"/>
  <c r="L25" i="35"/>
  <c r="J26" i="35"/>
  <c r="X24" i="35"/>
  <c r="V25" i="35"/>
  <c r="M24" i="35"/>
  <c r="R24" i="35"/>
  <c r="N34" i="35"/>
  <c r="Q33" i="35"/>
  <c r="T35" i="35"/>
  <c r="W32" i="35"/>
  <c r="F26" i="35"/>
  <c r="K33" i="35"/>
  <c r="L26" i="35"/>
  <c r="X25" i="35"/>
  <c r="U27" i="35"/>
  <c r="S28" i="35"/>
  <c r="O24" i="35"/>
  <c r="P25" i="35"/>
  <c r="K34" i="35"/>
  <c r="Q34" i="35"/>
  <c r="N35" i="35"/>
  <c r="D27" i="35"/>
  <c r="W33" i="35"/>
  <c r="U28" i="35"/>
  <c r="J27" i="35"/>
  <c r="V26" i="35"/>
  <c r="M25" i="35"/>
  <c r="R25" i="35"/>
  <c r="Q35" i="35"/>
  <c r="W34" i="35"/>
  <c r="F27" i="35"/>
  <c r="K35" i="35"/>
  <c r="X26" i="35"/>
  <c r="S29" i="35"/>
  <c r="D28" i="35"/>
  <c r="L27" i="35"/>
  <c r="O25" i="35"/>
  <c r="P26" i="35"/>
  <c r="F28" i="35"/>
  <c r="W35" i="35"/>
  <c r="V27" i="35"/>
  <c r="U29" i="35"/>
  <c r="S30" i="35"/>
  <c r="J28" i="35"/>
  <c r="M26" i="35"/>
  <c r="R26" i="35"/>
  <c r="D29" i="35"/>
  <c r="L28" i="35"/>
  <c r="J29" i="35"/>
  <c r="U30" i="35"/>
  <c r="S31" i="35"/>
  <c r="X27" i="35"/>
  <c r="O26" i="35"/>
  <c r="P27" i="35"/>
  <c r="F29" i="35"/>
  <c r="L29" i="35"/>
  <c r="U31" i="35"/>
  <c r="V28" i="35"/>
  <c r="M27" i="35"/>
  <c r="R27" i="35"/>
  <c r="D30" i="35"/>
  <c r="S32" i="35"/>
  <c r="J30" i="35"/>
  <c r="X28" i="35"/>
  <c r="O27" i="35"/>
  <c r="P28" i="35"/>
  <c r="F30" i="35"/>
  <c r="V29" i="35"/>
  <c r="L30" i="35"/>
  <c r="U32" i="35"/>
  <c r="M28" i="35"/>
  <c r="R28" i="35"/>
  <c r="D31" i="35"/>
  <c r="S33" i="35"/>
  <c r="X29" i="35"/>
  <c r="V30" i="35"/>
  <c r="J31" i="35"/>
  <c r="O28" i="35"/>
  <c r="P29" i="35"/>
  <c r="F31" i="35"/>
  <c r="X30" i="35"/>
  <c r="U33" i="35"/>
  <c r="L31" i="35"/>
  <c r="M29" i="35"/>
  <c r="R29" i="35"/>
  <c r="D32" i="35"/>
  <c r="V31" i="35"/>
  <c r="J32" i="35"/>
  <c r="S34" i="35"/>
  <c r="O29" i="35"/>
  <c r="P30" i="35"/>
  <c r="F32" i="35"/>
  <c r="U34" i="35"/>
  <c r="X31" i="35"/>
  <c r="L32" i="35"/>
  <c r="J33" i="35"/>
  <c r="M30" i="35"/>
  <c r="R30" i="35"/>
  <c r="L33" i="35"/>
  <c r="V32" i="35"/>
  <c r="S35" i="35"/>
  <c r="O30" i="35"/>
  <c r="P31" i="35"/>
  <c r="U35" i="35"/>
  <c r="X32" i="35"/>
  <c r="J34" i="35"/>
  <c r="M31" i="35"/>
  <c r="R31" i="35"/>
  <c r="L34" i="35"/>
  <c r="J35" i="35"/>
  <c r="V33" i="35"/>
  <c r="O31" i="35"/>
  <c r="P32" i="35"/>
  <c r="L35" i="35"/>
  <c r="X33" i="35"/>
  <c r="M32" i="35"/>
  <c r="R32" i="35"/>
  <c r="V34" i="35"/>
  <c r="P33" i="35"/>
  <c r="O32" i="35"/>
  <c r="R33" i="35"/>
  <c r="X34" i="35"/>
  <c r="M33" i="35"/>
  <c r="P34" i="35"/>
  <c r="V35" i="35"/>
  <c r="O33" i="35"/>
  <c r="R34" i="35"/>
  <c r="X35" i="35"/>
  <c r="M34" i="35"/>
  <c r="P35" i="35"/>
  <c r="O34" i="35"/>
  <c r="R35" i="35"/>
  <c r="M35" i="35"/>
  <c r="O35" i="35"/>
  <c r="Y15" i="28"/>
  <c r="W17" i="17"/>
  <c r="W18" i="17"/>
  <c r="T17" i="17"/>
  <c r="U17" i="17"/>
  <c r="U17" i="28"/>
  <c r="X16" i="17"/>
  <c r="X16" i="28"/>
  <c r="V16" i="28"/>
  <c r="W19" i="17"/>
  <c r="T18" i="17"/>
  <c r="Q17" i="17"/>
  <c r="Q18" i="17"/>
  <c r="Q19" i="17"/>
  <c r="V18" i="19"/>
  <c r="S17" i="19"/>
  <c r="V19" i="5"/>
  <c r="V19" i="27" s="1"/>
  <c r="V18" i="5"/>
  <c r="V18" i="27"/>
  <c r="S18" i="5"/>
  <c r="S18" i="27" s="1"/>
  <c r="P17" i="5"/>
  <c r="P17" i="27" s="1"/>
  <c r="R17" i="27" s="1"/>
  <c r="V17" i="17"/>
  <c r="P17" i="17"/>
  <c r="P17" i="28"/>
  <c r="S18" i="17"/>
  <c r="W20" i="17"/>
  <c r="T19" i="17"/>
  <c r="Q20" i="17"/>
  <c r="P16" i="5"/>
  <c r="U18" i="17"/>
  <c r="U18" i="28"/>
  <c r="S18" i="28"/>
  <c r="X17" i="17"/>
  <c r="V17" i="28"/>
  <c r="R17" i="17"/>
  <c r="W21" i="17"/>
  <c r="T20" i="17"/>
  <c r="Q21" i="17"/>
  <c r="M15" i="19"/>
  <c r="X17" i="28"/>
  <c r="V18" i="17"/>
  <c r="P18" i="17"/>
  <c r="P18" i="28"/>
  <c r="R17" i="28"/>
  <c r="R18" i="17"/>
  <c r="S19" i="17"/>
  <c r="W22" i="17"/>
  <c r="T21" i="17"/>
  <c r="Q22" i="17"/>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L16" i="34"/>
  <c r="F16" i="34"/>
  <c r="H7" i="34"/>
  <c r="H6" i="34"/>
  <c r="H8" i="34" s="1"/>
  <c r="J17" i="29"/>
  <c r="L16" i="29"/>
  <c r="U19" i="17"/>
  <c r="U19" i="28"/>
  <c r="S19" i="28"/>
  <c r="X18" i="17"/>
  <c r="P19" i="17"/>
  <c r="P19" i="28"/>
  <c r="R18" i="28"/>
  <c r="S20" i="17"/>
  <c r="W23" i="17"/>
  <c r="T22" i="17"/>
  <c r="Q23" i="17"/>
  <c r="O17" i="29"/>
  <c r="M17" i="29"/>
  <c r="V19" i="17"/>
  <c r="R19" i="17"/>
  <c r="U20" i="17"/>
  <c r="W24" i="17"/>
  <c r="T23" i="17"/>
  <c r="Q24" i="17"/>
  <c r="O18" i="29"/>
  <c r="M18" i="29"/>
  <c r="P20" i="17"/>
  <c r="R19" i="28"/>
  <c r="S21" i="17"/>
  <c r="X19" i="17"/>
  <c r="V20" i="17"/>
  <c r="L17" i="29"/>
  <c r="AD16" i="34"/>
  <c r="AB16" i="34"/>
  <c r="AF16" i="34" s="1"/>
  <c r="W25" i="17"/>
  <c r="T24" i="17"/>
  <c r="Q25" i="17"/>
  <c r="F30" i="39"/>
  <c r="O19" i="29"/>
  <c r="M19" i="29"/>
  <c r="X20" i="17"/>
  <c r="R20" i="17"/>
  <c r="J18" i="29"/>
  <c r="U21" i="17"/>
  <c r="W26" i="17"/>
  <c r="T25" i="17"/>
  <c r="Q26" i="17"/>
  <c r="L18" i="29"/>
  <c r="P21" i="17"/>
  <c r="V21" i="17"/>
  <c r="S22" i="17"/>
  <c r="W27" i="17"/>
  <c r="T26" i="17"/>
  <c r="Q27" i="17"/>
  <c r="X21" i="17"/>
  <c r="R21" i="17"/>
  <c r="J19" i="29"/>
  <c r="U22" i="17"/>
  <c r="W28" i="17"/>
  <c r="T27" i="17"/>
  <c r="Q28" i="17"/>
  <c r="S23" i="17"/>
  <c r="P22" i="17"/>
  <c r="V22" i="17"/>
  <c r="L19" i="29"/>
  <c r="W29" i="17"/>
  <c r="T28" i="17"/>
  <c r="Q29" i="17"/>
  <c r="X22" i="17"/>
  <c r="U23" i="17"/>
  <c r="R22" i="17"/>
  <c r="W30" i="17"/>
  <c r="T29" i="17"/>
  <c r="Q30" i="17"/>
  <c r="S24" i="17"/>
  <c r="V23" i="17"/>
  <c r="P23" i="17"/>
  <c r="W31" i="17"/>
  <c r="T30" i="17"/>
  <c r="Q31" i="17"/>
  <c r="R23" i="17"/>
  <c r="X23" i="17"/>
  <c r="V24" i="17"/>
  <c r="U24" i="17"/>
  <c r="W32" i="17"/>
  <c r="T31" i="17"/>
  <c r="Q32" i="17"/>
  <c r="X24" i="17"/>
  <c r="S25" i="17"/>
  <c r="P24" i="17"/>
  <c r="W33" i="17"/>
  <c r="T32" i="17"/>
  <c r="Q33" i="17"/>
  <c r="U25" i="17"/>
  <c r="S26" i="17"/>
  <c r="V25" i="17"/>
  <c r="R24" i="17"/>
  <c r="W34" i="17"/>
  <c r="T33" i="17"/>
  <c r="Q34" i="17"/>
  <c r="U26" i="17"/>
  <c r="X25" i="17"/>
  <c r="P25" i="17"/>
  <c r="W35" i="17"/>
  <c r="T34" i="17"/>
  <c r="Q35" i="17"/>
  <c r="R25" i="17"/>
  <c r="V26" i="17"/>
  <c r="S27" i="17"/>
  <c r="T35" i="17"/>
  <c r="U27" i="17"/>
  <c r="S28" i="17"/>
  <c r="P26" i="17"/>
  <c r="X26" i="17"/>
  <c r="V27" i="17"/>
  <c r="X27" i="17"/>
  <c r="R26" i="17"/>
  <c r="U28" i="17"/>
  <c r="S29" i="17"/>
  <c r="V28" i="17"/>
  <c r="P27" i="17"/>
  <c r="U29" i="17"/>
  <c r="S30" i="17"/>
  <c r="R27" i="17"/>
  <c r="X28" i="17"/>
  <c r="P28" i="17"/>
  <c r="U30" i="17"/>
  <c r="V29" i="17"/>
  <c r="X29" i="17"/>
  <c r="V30" i="17"/>
  <c r="S31" i="17"/>
  <c r="R28" i="17"/>
  <c r="P29" i="17"/>
  <c r="U31" i="17"/>
  <c r="X30" i="17"/>
  <c r="V31" i="17"/>
  <c r="S32" i="17"/>
  <c r="R29" i="17"/>
  <c r="X31" i="17"/>
  <c r="P30" i="17"/>
  <c r="U32" i="17"/>
  <c r="S33" i="17"/>
  <c r="R30" i="17"/>
  <c r="V32" i="17"/>
  <c r="M30" i="39"/>
  <c r="X32" i="17"/>
  <c r="P31" i="17"/>
  <c r="U33" i="17"/>
  <c r="S34" i="17"/>
  <c r="V33" i="17"/>
  <c r="U34" i="17"/>
  <c r="S35" i="17"/>
  <c r="R31" i="17"/>
  <c r="W18" i="27"/>
  <c r="W19" i="27" s="1"/>
  <c r="W20" i="27" s="1"/>
  <c r="W21" i="27" s="1"/>
  <c r="W22" i="27" s="1"/>
  <c r="W23" i="27" s="1"/>
  <c r="W24" i="27" s="1"/>
  <c r="W25" i="27" s="1"/>
  <c r="W26" i="27" s="1"/>
  <c r="W27" i="27" s="1"/>
  <c r="W28" i="27" s="1"/>
  <c r="W29" i="27" s="1"/>
  <c r="W30" i="27" s="1"/>
  <c r="W31" i="27" s="1"/>
  <c r="W32" i="27" s="1"/>
  <c r="W33" i="27" s="1"/>
  <c r="W34" i="27" s="1"/>
  <c r="W35" i="27" s="1"/>
  <c r="W36" i="27" s="1"/>
  <c r="W7" i="27"/>
  <c r="W6" i="27"/>
  <c r="T18" i="27"/>
  <c r="T19" i="27" s="1"/>
  <c r="T20" i="27" s="1"/>
  <c r="T21" i="27" s="1"/>
  <c r="T22" i="27" s="1"/>
  <c r="T23" i="27" s="1"/>
  <c r="T24" i="27" s="1"/>
  <c r="T25" i="27" s="1"/>
  <c r="T26" i="27" s="1"/>
  <c r="T27" i="27" s="1"/>
  <c r="T28" i="27" s="1"/>
  <c r="T29" i="27" s="1"/>
  <c r="T30" i="27" s="1"/>
  <c r="T31" i="27" s="1"/>
  <c r="T32" i="27" s="1"/>
  <c r="T33" i="27" s="1"/>
  <c r="T34" i="27" s="1"/>
  <c r="T35" i="27" s="1"/>
  <c r="T36" i="27" s="1"/>
  <c r="T7" i="27"/>
  <c r="T6" i="27"/>
  <c r="Q18" i="27"/>
  <c r="Q19" i="27" s="1"/>
  <c r="Q20" i="27" s="1"/>
  <c r="Q21" i="27" s="1"/>
  <c r="Q22" i="27" s="1"/>
  <c r="Q23" i="27" s="1"/>
  <c r="Q24" i="27" s="1"/>
  <c r="Q25" i="27" s="1"/>
  <c r="Q26" i="27" s="1"/>
  <c r="Q27" i="27" s="1"/>
  <c r="Q28" i="27" s="1"/>
  <c r="Q29" i="27" s="1"/>
  <c r="Q30" i="27" s="1"/>
  <c r="Q31" i="27" s="1"/>
  <c r="Q32" i="27" s="1"/>
  <c r="Q33" i="27" s="1"/>
  <c r="Q34" i="27" s="1"/>
  <c r="Q35" i="27" s="1"/>
  <c r="Q36" i="27" s="1"/>
  <c r="Q7" i="27"/>
  <c r="Q6" i="27"/>
  <c r="Q8" i="27" s="1"/>
  <c r="W7" i="19"/>
  <c r="W6" i="19"/>
  <c r="W8" i="19" s="1"/>
  <c r="T7" i="19"/>
  <c r="T6" i="19"/>
  <c r="T8" i="19"/>
  <c r="Q7" i="19"/>
  <c r="Q6" i="19"/>
  <c r="P32" i="17"/>
  <c r="U35" i="17"/>
  <c r="X33" i="17"/>
  <c r="W8" i="27"/>
  <c r="T8" i="27"/>
  <c r="U18" i="19"/>
  <c r="U20" i="19" s="1"/>
  <c r="R17" i="19"/>
  <c r="P18" i="19" s="1"/>
  <c r="P16" i="19"/>
  <c r="P16" i="27"/>
  <c r="Q8" i="19"/>
  <c r="W20" i="5"/>
  <c r="W21" i="5" s="1"/>
  <c r="W22" i="5" s="1"/>
  <c r="W7" i="5"/>
  <c r="W6" i="5"/>
  <c r="T19" i="5"/>
  <c r="T20" i="5" s="1"/>
  <c r="T7" i="5"/>
  <c r="T6" i="5"/>
  <c r="T8" i="5" s="1"/>
  <c r="Q18" i="5"/>
  <c r="Q19" i="5" s="1"/>
  <c r="Q20" i="5" s="1"/>
  <c r="Q21" i="5" s="1"/>
  <c r="Q22" i="5" s="1"/>
  <c r="Q23" i="5" s="1"/>
  <c r="Q24" i="5" s="1"/>
  <c r="Q25" i="5" s="1"/>
  <c r="Q26" i="5" s="1"/>
  <c r="Q27" i="5" s="1"/>
  <c r="Q28" i="5" s="1"/>
  <c r="Q29" i="5" s="1"/>
  <c r="Q7" i="5"/>
  <c r="Q6" i="5"/>
  <c r="V34" i="17"/>
  <c r="R32" i="17"/>
  <c r="U18" i="5"/>
  <c r="P33" i="17"/>
  <c r="X34" i="17"/>
  <c r="V35" i="17"/>
  <c r="R33" i="17"/>
  <c r="X35" i="17"/>
  <c r="P34" i="17"/>
  <c r="R34" i="17"/>
  <c r="P35" i="17"/>
  <c r="S10" i="32"/>
  <c r="S11" i="32"/>
  <c r="S12" i="32"/>
  <c r="W12" i="32"/>
  <c r="S13" i="32"/>
  <c r="W13" i="32"/>
  <c r="S14" i="32"/>
  <c r="W14" i="32"/>
  <c r="S15" i="32"/>
  <c r="W15" i="32"/>
  <c r="S16" i="32"/>
  <c r="W16" i="32"/>
  <c r="S17" i="32"/>
  <c r="W17" i="32"/>
  <c r="S18" i="32"/>
  <c r="W18" i="32"/>
  <c r="S19" i="32"/>
  <c r="W19" i="32"/>
  <c r="S20" i="32"/>
  <c r="W20" i="32"/>
  <c r="S21" i="32"/>
  <c r="W21" i="32"/>
  <c r="S22" i="32"/>
  <c r="W22" i="32"/>
  <c r="S23" i="32"/>
  <c r="W23" i="32"/>
  <c r="S24" i="32"/>
  <c r="W24" i="32"/>
  <c r="S25" i="32"/>
  <c r="W25" i="32"/>
  <c r="S26" i="32"/>
  <c r="W26" i="32"/>
  <c r="S27" i="32"/>
  <c r="W27" i="32"/>
  <c r="S28" i="32"/>
  <c r="W28" i="32"/>
  <c r="S29" i="32"/>
  <c r="W29" i="32"/>
  <c r="S30" i="32"/>
  <c r="W30" i="32"/>
  <c r="S31" i="32"/>
  <c r="W31" i="32"/>
  <c r="U42" i="32"/>
  <c r="U48" i="32"/>
  <c r="W40" i="32"/>
  <c r="A40" i="32"/>
  <c r="A41" i="32"/>
  <c r="W39" i="32"/>
  <c r="S38" i="32"/>
  <c r="W38" i="32"/>
  <c r="W37" i="32"/>
  <c r="S37" i="32"/>
  <c r="W36" i="32"/>
  <c r="W35" i="32"/>
  <c r="S34" i="32"/>
  <c r="W34" i="32"/>
  <c r="W33" i="32"/>
  <c r="S33" i="32"/>
  <c r="W32"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11" i="30"/>
  <c r="B12" i="30"/>
  <c r="B13" i="30"/>
  <c r="B14" i="30"/>
  <c r="B15" i="30"/>
  <c r="B16" i="30"/>
  <c r="B17" i="30"/>
  <c r="B18" i="30"/>
  <c r="B19" i="30"/>
  <c r="B20" i="30"/>
  <c r="B21" i="30"/>
  <c r="B22" i="30"/>
  <c r="B23" i="30"/>
  <c r="B24" i="30"/>
  <c r="B25" i="30"/>
  <c r="B26" i="30"/>
  <c r="B27" i="30"/>
  <c r="B28" i="30"/>
  <c r="B29" i="30"/>
  <c r="B30" i="30"/>
  <c r="B31" i="30"/>
  <c r="B32" i="30"/>
  <c r="B33" i="30"/>
  <c r="B34" i="30"/>
  <c r="B35" i="30"/>
  <c r="B36" i="30"/>
  <c r="B37" i="30"/>
  <c r="B38" i="30"/>
  <c r="B39" i="30"/>
  <c r="U42" i="30"/>
  <c r="U48" i="30"/>
  <c r="W10" i="30"/>
  <c r="Q10" i="30"/>
  <c r="Q11" i="30"/>
  <c r="S11" i="30"/>
  <c r="Q12" i="30"/>
  <c r="S12" i="30"/>
  <c r="Q13" i="30"/>
  <c r="Q14" i="30"/>
  <c r="Q15" i="30"/>
  <c r="S15" i="30"/>
  <c r="Q16" i="30"/>
  <c r="S16" i="30"/>
  <c r="Q17" i="30"/>
  <c r="Q18" i="30"/>
  <c r="Q19" i="30"/>
  <c r="S19" i="30"/>
  <c r="Q20" i="30"/>
  <c r="S20" i="30"/>
  <c r="Q21" i="30"/>
  <c r="Q22" i="30"/>
  <c r="Q23" i="30"/>
  <c r="S23" i="30"/>
  <c r="Q24" i="30"/>
  <c r="S24" i="30"/>
  <c r="Q25" i="30"/>
  <c r="Q26" i="30"/>
  <c r="Q27" i="30"/>
  <c r="S27" i="30"/>
  <c r="Q28" i="30"/>
  <c r="S28" i="30"/>
  <c r="Q29" i="30"/>
  <c r="Q30" i="30"/>
  <c r="Q31" i="30"/>
  <c r="S31" i="30"/>
  <c r="Q32" i="30"/>
  <c r="S32" i="30"/>
  <c r="Q33" i="30"/>
  <c r="Q34" i="30"/>
  <c r="Q35" i="30"/>
  <c r="S35" i="30"/>
  <c r="Q36" i="30"/>
  <c r="S36" i="30"/>
  <c r="Q37" i="30"/>
  <c r="Q38" i="30"/>
  <c r="Q39" i="30"/>
  <c r="S39" i="30"/>
  <c r="Q40" i="30"/>
  <c r="S40" i="30"/>
  <c r="S13" i="30"/>
  <c r="S17" i="30"/>
  <c r="S18" i="30"/>
  <c r="S21" i="30"/>
  <c r="S22" i="30"/>
  <c r="S25" i="30"/>
  <c r="S26" i="30"/>
  <c r="S29" i="30"/>
  <c r="S30" i="30"/>
  <c r="S33" i="30"/>
  <c r="S34" i="30"/>
  <c r="S37" i="30"/>
  <c r="S38" i="30"/>
  <c r="S10" i="30"/>
  <c r="A40" i="30"/>
  <c r="H16" i="26"/>
  <c r="H17" i="26"/>
  <c r="H18" i="26"/>
  <c r="H19" i="26"/>
  <c r="H20" i="26"/>
  <c r="H21" i="26"/>
  <c r="H22" i="26"/>
  <c r="H23" i="26"/>
  <c r="H24" i="26"/>
  <c r="H25" i="26"/>
  <c r="H26" i="26"/>
  <c r="H27" i="26"/>
  <c r="H28" i="26"/>
  <c r="H29" i="26"/>
  <c r="H30" i="26"/>
  <c r="H31" i="26"/>
  <c r="H32" i="26"/>
  <c r="H33" i="26"/>
  <c r="H34" i="26"/>
  <c r="H35" i="26"/>
  <c r="H36" i="26"/>
  <c r="H37" i="26"/>
  <c r="H38" i="26"/>
  <c r="H39" i="26"/>
  <c r="H40" i="26"/>
  <c r="H41" i="26"/>
  <c r="H42" i="26"/>
  <c r="H43" i="26"/>
  <c r="H44" i="26"/>
  <c r="P9" i="10"/>
  <c r="J9" i="10"/>
  <c r="G48" i="10"/>
  <c r="K48" i="10"/>
  <c r="F48" i="10"/>
  <c r="J48" i="10"/>
  <c r="F99" i="10"/>
  <c r="F98" i="10"/>
  <c r="F97" i="10"/>
  <c r="F96" i="10"/>
  <c r="F95" i="10"/>
  <c r="F94" i="10"/>
  <c r="F93" i="10"/>
  <c r="F92" i="10"/>
  <c r="F91" i="10"/>
  <c r="F90" i="10"/>
  <c r="F89" i="10"/>
  <c r="F88" i="10"/>
  <c r="F87" i="10"/>
  <c r="G39" i="10"/>
  <c r="R10" i="10"/>
  <c r="X46" i="29"/>
  <c r="X45" i="29"/>
  <c r="Y17" i="29"/>
  <c r="Y18" i="29"/>
  <c r="Y19" i="29" s="1"/>
  <c r="Y20" i="29" s="1"/>
  <c r="Y21" i="29" s="1"/>
  <c r="Y22" i="29" s="1"/>
  <c r="Y23" i="29" s="1"/>
  <c r="Y24" i="29" s="1"/>
  <c r="Y25" i="29" s="1"/>
  <c r="Y26" i="29" s="1"/>
  <c r="Y27" i="29" s="1"/>
  <c r="Y28" i="29" s="1"/>
  <c r="Y29" i="29" s="1"/>
  <c r="Y30" i="29" s="1"/>
  <c r="Y31" i="29" s="1"/>
  <c r="Y32" i="29" s="1"/>
  <c r="Y33" i="29" s="1"/>
  <c r="Y34" i="29" s="1"/>
  <c r="Y35" i="29" s="1"/>
  <c r="Y36" i="29" s="1"/>
  <c r="V17" i="29"/>
  <c r="V18" i="29"/>
  <c r="V19" i="29" s="1"/>
  <c r="W16" i="29"/>
  <c r="G10" i="10"/>
  <c r="R45" i="29"/>
  <c r="P45" i="29"/>
  <c r="Q17" i="29"/>
  <c r="Q18" i="29" s="1"/>
  <c r="Q19" i="29" s="1"/>
  <c r="Q20" i="29" s="1"/>
  <c r="Q21" i="29" s="1"/>
  <c r="Q22" i="29" s="1"/>
  <c r="Q23" i="29" s="1"/>
  <c r="Q24" i="29" s="1"/>
  <c r="Q25" i="29" s="1"/>
  <c r="Q26" i="29" s="1"/>
  <c r="Q27" i="29" s="1"/>
  <c r="Q28" i="29" s="1"/>
  <c r="Q29" i="29" s="1"/>
  <c r="Q30" i="29" s="1"/>
  <c r="Q31" i="29" s="1"/>
  <c r="Q32" i="29" s="1"/>
  <c r="Q33" i="29" s="1"/>
  <c r="Q34" i="29" s="1"/>
  <c r="Q35" i="29" s="1"/>
  <c r="Q36" i="29" s="1"/>
  <c r="Q37" i="29" s="1"/>
  <c r="Q38" i="29" s="1"/>
  <c r="Q39" i="29" s="1"/>
  <c r="Q40" i="29" s="1"/>
  <c r="Q41" i="29" s="1"/>
  <c r="Q42" i="29" s="1"/>
  <c r="Q43" i="29" s="1"/>
  <c r="Q44" i="29" s="1"/>
  <c r="Q45" i="29" s="1"/>
  <c r="N17" i="29"/>
  <c r="N18" i="29" s="1"/>
  <c r="N19" i="29" s="1"/>
  <c r="N20" i="29" s="1"/>
  <c r="N21" i="29" s="1"/>
  <c r="N22" i="29" s="1"/>
  <c r="N23" i="29" s="1"/>
  <c r="N24" i="29" s="1"/>
  <c r="N25" i="29" s="1"/>
  <c r="N26" i="29" s="1"/>
  <c r="N27" i="29" s="1"/>
  <c r="N28" i="29" s="1"/>
  <c r="N29" i="29" s="1"/>
  <c r="N30" i="29" s="1"/>
  <c r="N31" i="29" s="1"/>
  <c r="N32" i="29" s="1"/>
  <c r="N33" i="29" s="1"/>
  <c r="N34" i="29" s="1"/>
  <c r="N35" i="29" s="1"/>
  <c r="K17" i="29"/>
  <c r="K18" i="29" s="1"/>
  <c r="K19" i="29" s="1"/>
  <c r="K20" i="29" s="1"/>
  <c r="K21" i="29" s="1"/>
  <c r="K22" i="29" s="1"/>
  <c r="K23" i="29" s="1"/>
  <c r="K24" i="29" s="1"/>
  <c r="K25" i="29" s="1"/>
  <c r="K26" i="29" s="1"/>
  <c r="K27" i="29" s="1"/>
  <c r="K28" i="29" s="1"/>
  <c r="K29" i="29" s="1"/>
  <c r="K30" i="29" s="1"/>
  <c r="K31" i="29" s="1"/>
  <c r="K32" i="29" s="1"/>
  <c r="K33" i="29" s="1"/>
  <c r="K34" i="29" s="1"/>
  <c r="K35" i="29" s="1"/>
  <c r="H16" i="29"/>
  <c r="H17" i="29" s="1"/>
  <c r="H18" i="29" s="1"/>
  <c r="H19" i="29" s="1"/>
  <c r="H20" i="29" s="1"/>
  <c r="H21" i="29" s="1"/>
  <c r="H22" i="29" s="1"/>
  <c r="H23" i="29" s="1"/>
  <c r="H24" i="29" s="1"/>
  <c r="H25" i="29" s="1"/>
  <c r="H26" i="29" s="1"/>
  <c r="H27" i="29" s="1"/>
  <c r="H28" i="29" s="1"/>
  <c r="H29" i="29" s="1"/>
  <c r="H30" i="29" s="1"/>
  <c r="H31" i="29" s="1"/>
  <c r="H32" i="29" s="1"/>
  <c r="H33" i="29" s="1"/>
  <c r="H34" i="29" s="1"/>
  <c r="H35" i="29" s="1"/>
  <c r="P15" i="29"/>
  <c r="B15" i="29"/>
  <c r="B16" i="29" s="1"/>
  <c r="P14" i="29"/>
  <c r="C14" i="29"/>
  <c r="H7" i="29"/>
  <c r="H6" i="29"/>
  <c r="H8" i="29" s="1"/>
  <c r="Q42" i="30"/>
  <c r="Q48" i="30"/>
  <c r="Q41" i="30"/>
  <c r="R35" i="17"/>
  <c r="S14" i="30"/>
  <c r="Q44" i="30"/>
  <c r="K42" i="30"/>
  <c r="S41" i="30"/>
  <c r="Q46" i="30"/>
  <c r="U46" i="30"/>
  <c r="W37" i="30"/>
  <c r="W33" i="30"/>
  <c r="W29" i="30"/>
  <c r="W25" i="30"/>
  <c r="W21" i="30"/>
  <c r="W17" i="30"/>
  <c r="W13" i="30"/>
  <c r="W40" i="30"/>
  <c r="W36" i="30"/>
  <c r="W32" i="30"/>
  <c r="W28" i="30"/>
  <c r="W24" i="30"/>
  <c r="W20" i="30"/>
  <c r="W16" i="30"/>
  <c r="W12" i="30"/>
  <c r="W39" i="30"/>
  <c r="W35" i="30"/>
  <c r="W31" i="30"/>
  <c r="W27" i="30"/>
  <c r="W23" i="30"/>
  <c r="W19" i="30"/>
  <c r="W15" i="30"/>
  <c r="W11" i="30"/>
  <c r="W38" i="30"/>
  <c r="W34" i="30"/>
  <c r="W30" i="30"/>
  <c r="W26" i="30"/>
  <c r="W22" i="30"/>
  <c r="W18" i="30"/>
  <c r="W14" i="30"/>
  <c r="K46" i="32"/>
  <c r="K48" i="32"/>
  <c r="S35" i="32"/>
  <c r="S39" i="32"/>
  <c r="Q42" i="32"/>
  <c r="U46" i="32"/>
  <c r="S32" i="32"/>
  <c r="S36" i="32"/>
  <c r="S40" i="32"/>
  <c r="R11" i="10"/>
  <c r="Z17" i="28"/>
  <c r="Z18" i="28"/>
  <c r="Z19" i="28" s="1"/>
  <c r="Z20" i="28" s="1"/>
  <c r="Z21" i="28" s="1"/>
  <c r="Z22" i="28" s="1"/>
  <c r="Z23" i="28" s="1"/>
  <c r="Z24" i="28" s="1"/>
  <c r="Z25" i="28" s="1"/>
  <c r="Z26" i="28" s="1"/>
  <c r="Z27" i="28" s="1"/>
  <c r="Z28" i="28" s="1"/>
  <c r="Z29" i="28" s="1"/>
  <c r="Z30" i="28" s="1"/>
  <c r="Z31" i="28" s="1"/>
  <c r="Z32" i="28" s="1"/>
  <c r="Z33" i="28" s="1"/>
  <c r="Z34" i="28" s="1"/>
  <c r="Z35" i="28" s="1"/>
  <c r="Z36" i="28" s="1"/>
  <c r="Z37" i="28" s="1"/>
  <c r="Z38" i="28" s="1"/>
  <c r="Z39" i="28" s="1"/>
  <c r="Z40" i="28" s="1"/>
  <c r="Z41" i="28" s="1"/>
  <c r="Z42" i="28" s="1"/>
  <c r="Z43" i="28" s="1"/>
  <c r="Z44" i="28" s="1"/>
  <c r="Z45" i="28" s="1"/>
  <c r="N17" i="28"/>
  <c r="K17" i="28"/>
  <c r="K18" i="28" s="1"/>
  <c r="K19" i="28" s="1"/>
  <c r="K20" i="28" s="1"/>
  <c r="K21" i="28" s="1"/>
  <c r="K22" i="28" s="1"/>
  <c r="K23" i="28" s="1"/>
  <c r="K24" i="28" s="1"/>
  <c r="K25" i="28" s="1"/>
  <c r="K26" i="28" s="1"/>
  <c r="K27" i="28" s="1"/>
  <c r="K28" i="28" s="1"/>
  <c r="K29" i="28" s="1"/>
  <c r="K30" i="28" s="1"/>
  <c r="K31" i="28" s="1"/>
  <c r="K32" i="28" s="1"/>
  <c r="K33" i="28" s="1"/>
  <c r="K34" i="28" s="1"/>
  <c r="K35" i="28" s="1"/>
  <c r="A17" i="28"/>
  <c r="A18" i="28"/>
  <c r="H17" i="28"/>
  <c r="H18" i="28" s="1"/>
  <c r="H19" i="28" s="1"/>
  <c r="H20" i="28" s="1"/>
  <c r="H21" i="28" s="1"/>
  <c r="H22" i="28" s="1"/>
  <c r="H23" i="28" s="1"/>
  <c r="H24" i="28" s="1"/>
  <c r="H25" i="28" s="1"/>
  <c r="H26" i="28" s="1"/>
  <c r="H27" i="28" s="1"/>
  <c r="H28" i="28" s="1"/>
  <c r="H29" i="28" s="1"/>
  <c r="H30" i="28" s="1"/>
  <c r="H31" i="28" s="1"/>
  <c r="H32" i="28" s="1"/>
  <c r="H33" i="28" s="1"/>
  <c r="H34" i="28" s="1"/>
  <c r="H35" i="28" s="1"/>
  <c r="H36" i="28" s="1"/>
  <c r="H37" i="28" s="1"/>
  <c r="H38" i="28" s="1"/>
  <c r="H39" i="28" s="1"/>
  <c r="H40" i="28" s="1"/>
  <c r="H41" i="28" s="1"/>
  <c r="H42" i="28" s="1"/>
  <c r="H43" i="28" s="1"/>
  <c r="H44" i="28" s="1"/>
  <c r="B15" i="28"/>
  <c r="B16" i="28" s="1"/>
  <c r="C14" i="28"/>
  <c r="N18" i="27"/>
  <c r="N19" i="27" s="1"/>
  <c r="N20" i="27" s="1"/>
  <c r="N21" i="27" s="1"/>
  <c r="Z17" i="27"/>
  <c r="Z18" i="27"/>
  <c r="Z19" i="27"/>
  <c r="Z20" i="27"/>
  <c r="Z21" i="27"/>
  <c r="Z22" i="27"/>
  <c r="Z23" i="27"/>
  <c r="Z24" i="27"/>
  <c r="Z25" i="27"/>
  <c r="Z26" i="27"/>
  <c r="Z27" i="27"/>
  <c r="Z28" i="27"/>
  <c r="Z29" i="27"/>
  <c r="Z30" i="27"/>
  <c r="Z31" i="27"/>
  <c r="Z32" i="27"/>
  <c r="Z33" i="27"/>
  <c r="Z34" i="27"/>
  <c r="Z35" i="27"/>
  <c r="Z36" i="27"/>
  <c r="Z37" i="27"/>
  <c r="Z38" i="27"/>
  <c r="Z39" i="27"/>
  <c r="Z40" i="27"/>
  <c r="Z41" i="27"/>
  <c r="Z42" i="27"/>
  <c r="Z43" i="27"/>
  <c r="Z44" i="27"/>
  <c r="Z45" i="27"/>
  <c r="Z46" i="27"/>
  <c r="K17" i="27"/>
  <c r="K18" i="27" s="1"/>
  <c r="K19" i="27" s="1"/>
  <c r="K20" i="27" s="1"/>
  <c r="K21" i="27" s="1"/>
  <c r="K22" i="27" s="1"/>
  <c r="K23" i="27" s="1"/>
  <c r="K24" i="27" s="1"/>
  <c r="K25" i="27" s="1"/>
  <c r="K26" i="27" s="1"/>
  <c r="K27" i="27" s="1"/>
  <c r="K28" i="27" s="1"/>
  <c r="K29" i="27" s="1"/>
  <c r="K30" i="27" s="1"/>
  <c r="K31" i="27" s="1"/>
  <c r="K32" i="27" s="1"/>
  <c r="K33" i="27" s="1"/>
  <c r="K34" i="27" s="1"/>
  <c r="K35" i="27" s="1"/>
  <c r="K36" i="27" s="1"/>
  <c r="K37" i="27" s="1"/>
  <c r="K38" i="27" s="1"/>
  <c r="K39" i="27" s="1"/>
  <c r="K40" i="27" s="1"/>
  <c r="K41" i="27" s="1"/>
  <c r="K42" i="27" s="1"/>
  <c r="K43" i="27" s="1"/>
  <c r="K44" i="27" s="1"/>
  <c r="K45" i="27" s="1"/>
  <c r="A17" i="27"/>
  <c r="H16" i="27"/>
  <c r="H17" i="27"/>
  <c r="H18" i="27"/>
  <c r="H19" i="27"/>
  <c r="H20" i="27"/>
  <c r="H21" i="27"/>
  <c r="H22" i="27"/>
  <c r="H23" i="27"/>
  <c r="H24" i="27"/>
  <c r="H25" i="27"/>
  <c r="H26" i="27"/>
  <c r="H27" i="27"/>
  <c r="H28" i="27"/>
  <c r="H29" i="27"/>
  <c r="H30" i="27"/>
  <c r="H31" i="27"/>
  <c r="H32" i="27"/>
  <c r="H33" i="27"/>
  <c r="H34" i="27"/>
  <c r="H35" i="27"/>
  <c r="H36" i="27"/>
  <c r="H37" i="27"/>
  <c r="H38" i="27"/>
  <c r="H39" i="27"/>
  <c r="H40" i="27"/>
  <c r="H41" i="27"/>
  <c r="H42" i="27"/>
  <c r="H43" i="27"/>
  <c r="B15" i="27"/>
  <c r="C15" i="27"/>
  <c r="C14" i="27"/>
  <c r="N7" i="27"/>
  <c r="K7" i="27"/>
  <c r="H7" i="27"/>
  <c r="N6" i="27"/>
  <c r="K6" i="27"/>
  <c r="K8" i="27"/>
  <c r="H6" i="27"/>
  <c r="P15" i="26"/>
  <c r="P14" i="26"/>
  <c r="J15" i="26"/>
  <c r="J14" i="26"/>
  <c r="J16" i="26"/>
  <c r="G15" i="26"/>
  <c r="D16" i="26"/>
  <c r="Q17" i="26"/>
  <c r="Q18" i="26"/>
  <c r="Q19" i="26"/>
  <c r="Q20" i="26"/>
  <c r="Q21" i="26"/>
  <c r="Q22" i="26"/>
  <c r="Q23" i="26"/>
  <c r="Q24" i="26"/>
  <c r="Q25" i="26"/>
  <c r="Q26" i="26"/>
  <c r="Q27" i="26"/>
  <c r="Q28" i="26"/>
  <c r="Q29" i="26"/>
  <c r="Q30" i="26"/>
  <c r="Q31" i="26"/>
  <c r="Q32" i="26"/>
  <c r="Q33" i="26"/>
  <c r="Q34" i="26"/>
  <c r="Q35" i="26"/>
  <c r="Q36" i="26"/>
  <c r="Q37" i="26"/>
  <c r="Q38" i="26"/>
  <c r="Q39" i="26"/>
  <c r="Q40" i="26"/>
  <c r="Q41" i="26"/>
  <c r="Q42" i="26"/>
  <c r="Q43" i="26"/>
  <c r="Q44" i="26"/>
  <c r="Q45" i="26"/>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K17" i="26"/>
  <c r="K18" i="26"/>
  <c r="K19" i="26"/>
  <c r="K20" i="26"/>
  <c r="K21" i="26"/>
  <c r="K22" i="26"/>
  <c r="K23" i="26"/>
  <c r="K24" i="26"/>
  <c r="K25" i="26"/>
  <c r="K26" i="26"/>
  <c r="K27" i="26"/>
  <c r="K28" i="26"/>
  <c r="K29" i="26"/>
  <c r="K30" i="26"/>
  <c r="K31" i="26"/>
  <c r="K32" i="26"/>
  <c r="K33" i="26"/>
  <c r="K34" i="26"/>
  <c r="K35" i="26"/>
  <c r="K36" i="26"/>
  <c r="K37" i="26"/>
  <c r="K38" i="26"/>
  <c r="K39" i="26"/>
  <c r="K40" i="26"/>
  <c r="K41" i="26"/>
  <c r="K42" i="26"/>
  <c r="K43" i="26"/>
  <c r="K44" i="26"/>
  <c r="K45" i="26"/>
  <c r="E17"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B15" i="26"/>
  <c r="C14" i="26"/>
  <c r="N7" i="26"/>
  <c r="K7" i="26"/>
  <c r="L16" i="26" s="1"/>
  <c r="H7" i="26"/>
  <c r="N6" i="26"/>
  <c r="N8" i="26"/>
  <c r="K6" i="26"/>
  <c r="K8" i="26"/>
  <c r="H6" i="26"/>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H44" i="27"/>
  <c r="C15" i="26"/>
  <c r="B16" i="26"/>
  <c r="W41" i="30"/>
  <c r="E18" i="26"/>
  <c r="U44" i="30"/>
  <c r="U43" i="30"/>
  <c r="Q43" i="30"/>
  <c r="K46" i="30"/>
  <c r="K48" i="30"/>
  <c r="N18" i="28"/>
  <c r="N19" i="28" s="1"/>
  <c r="N20" i="28" s="1"/>
  <c r="N21" i="28" s="1"/>
  <c r="N22" i="28" s="1"/>
  <c r="N23" i="28" s="1"/>
  <c r="N24" i="28" s="1"/>
  <c r="N25" i="28" s="1"/>
  <c r="N26" i="28" s="1"/>
  <c r="N27" i="28" s="1"/>
  <c r="N28" i="28" s="1"/>
  <c r="N29" i="28" s="1"/>
  <c r="N30" i="28" s="1"/>
  <c r="N31" i="28" s="1"/>
  <c r="N32" i="28" s="1"/>
  <c r="N33" i="28" s="1"/>
  <c r="N34" i="28" s="1"/>
  <c r="N35" i="28" s="1"/>
  <c r="Q44" i="32"/>
  <c r="Q46" i="32"/>
  <c r="Q48" i="32"/>
  <c r="Q43" i="32"/>
  <c r="U43" i="32"/>
  <c r="U44" i="32"/>
  <c r="G11" i="10"/>
  <c r="C16" i="26"/>
  <c r="I15" i="26"/>
  <c r="I27" i="26" s="1"/>
  <c r="H8" i="27"/>
  <c r="N8" i="27"/>
  <c r="B16" i="27"/>
  <c r="L16" i="27"/>
  <c r="I31" i="26"/>
  <c r="E19" i="26"/>
  <c r="B17" i="26"/>
  <c r="H8" i="26"/>
  <c r="AC16" i="22"/>
  <c r="AC17" i="22"/>
  <c r="Z16" i="22"/>
  <c r="U16" i="22"/>
  <c r="U17" i="22"/>
  <c r="U18" i="22"/>
  <c r="U19" i="22"/>
  <c r="U20" i="22"/>
  <c r="U21" i="22"/>
  <c r="U22" i="22"/>
  <c r="U23" i="22"/>
  <c r="U24" i="22"/>
  <c r="U25" i="22"/>
  <c r="U26" i="22"/>
  <c r="U27" i="22"/>
  <c r="U28" i="22"/>
  <c r="U29" i="22"/>
  <c r="U30" i="22"/>
  <c r="U31" i="22"/>
  <c r="U32" i="22"/>
  <c r="U33" i="22"/>
  <c r="U34" i="22"/>
  <c r="U35" i="22"/>
  <c r="R16" i="22"/>
  <c r="R17" i="22"/>
  <c r="R18" i="22"/>
  <c r="R19" i="22"/>
  <c r="N16" i="22"/>
  <c r="N17" i="22"/>
  <c r="N18" i="22"/>
  <c r="N19" i="22"/>
  <c r="N20" i="22"/>
  <c r="N21" i="22"/>
  <c r="N22" i="22"/>
  <c r="N23" i="22"/>
  <c r="N24" i="22"/>
  <c r="N25" i="22"/>
  <c r="N26" i="22"/>
  <c r="N27" i="22"/>
  <c r="N28" i="22"/>
  <c r="N29" i="22"/>
  <c r="N30" i="22"/>
  <c r="N31" i="22"/>
  <c r="N32" i="22"/>
  <c r="N33" i="22"/>
  <c r="N34" i="22"/>
  <c r="N35" i="22"/>
  <c r="K16" i="22"/>
  <c r="H16" i="22"/>
  <c r="H17" i="22"/>
  <c r="E16" i="22"/>
  <c r="E17" i="22"/>
  <c r="E18" i="22"/>
  <c r="E19" i="22"/>
  <c r="E20" i="22"/>
  <c r="E21" i="22"/>
  <c r="E22" i="22"/>
  <c r="E23" i="22"/>
  <c r="E24" i="22"/>
  <c r="E25" i="22"/>
  <c r="E26" i="22"/>
  <c r="E27" i="22"/>
  <c r="E28" i="22"/>
  <c r="E29" i="22"/>
  <c r="E30" i="22"/>
  <c r="E31" i="22"/>
  <c r="E32" i="22"/>
  <c r="E33" i="22"/>
  <c r="E34" i="22"/>
  <c r="E35" i="22"/>
  <c r="E36" i="22"/>
  <c r="E37" i="22"/>
  <c r="E38" i="22"/>
  <c r="E39" i="22"/>
  <c r="E40" i="22"/>
  <c r="E41" i="22"/>
  <c r="E42" i="22"/>
  <c r="E43" i="22"/>
  <c r="E44"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L15" i="22"/>
  <c r="J16" i="22"/>
  <c r="G15" i="22"/>
  <c r="Q15" i="22"/>
  <c r="S15" i="22"/>
  <c r="U9" i="22"/>
  <c r="N9" i="22"/>
  <c r="E9" i="22"/>
  <c r="U8" i="22"/>
  <c r="U10" i="22"/>
  <c r="N8" i="22"/>
  <c r="E8" i="22"/>
  <c r="E10" i="22"/>
  <c r="F86" i="10"/>
  <c r="F85" i="10"/>
  <c r="F84" i="10"/>
  <c r="F83" i="10"/>
  <c r="F82" i="10"/>
  <c r="F81" i="10"/>
  <c r="F80" i="10"/>
  <c r="F79" i="10"/>
  <c r="F78" i="10"/>
  <c r="F77" i="10"/>
  <c r="F76" i="10"/>
  <c r="F75" i="10"/>
  <c r="F74" i="10"/>
  <c r="F73" i="10"/>
  <c r="F72" i="10"/>
  <c r="F71" i="10"/>
  <c r="F70" i="10"/>
  <c r="G36" i="10"/>
  <c r="G30" i="10"/>
  <c r="G31" i="10"/>
  <c r="G37" i="10"/>
  <c r="G34" i="10"/>
  <c r="G35" i="10"/>
  <c r="G33" i="10"/>
  <c r="G38" i="10"/>
  <c r="G32" i="10"/>
  <c r="L16" i="22"/>
  <c r="J17" i="22"/>
  <c r="F15" i="22"/>
  <c r="F22" i="22"/>
  <c r="M15" i="22"/>
  <c r="O15" i="22"/>
  <c r="M16" i="22"/>
  <c r="R12" i="10"/>
  <c r="B17" i="27"/>
  <c r="C16" i="27"/>
  <c r="C17" i="26"/>
  <c r="B18" i="26"/>
  <c r="E20" i="26"/>
  <c r="AC18" i="22"/>
  <c r="N10" i="22"/>
  <c r="H18" i="22"/>
  <c r="R20" i="22"/>
  <c r="K17" i="22"/>
  <c r="F35" i="22"/>
  <c r="F26" i="22"/>
  <c r="Q16" i="22"/>
  <c r="T15" i="22"/>
  <c r="X15" i="22"/>
  <c r="Z17" i="22"/>
  <c r="I15" i="22"/>
  <c r="F39" i="22"/>
  <c r="D16" i="22"/>
  <c r="F20" i="22"/>
  <c r="F21" i="22"/>
  <c r="F18" i="22"/>
  <c r="F34" i="22"/>
  <c r="F24" i="22"/>
  <c r="F28" i="22"/>
  <c r="F42" i="22"/>
  <c r="F23" i="22"/>
  <c r="F17" i="22"/>
  <c r="F25" i="22"/>
  <c r="F32" i="22"/>
  <c r="F38" i="22"/>
  <c r="F19" i="22"/>
  <c r="F16" i="22"/>
  <c r="F30" i="22"/>
  <c r="F29" i="22"/>
  <c r="F36" i="22"/>
  <c r="F43" i="22"/>
  <c r="F44" i="22"/>
  <c r="F40" i="22"/>
  <c r="F31" i="22"/>
  <c r="F27" i="22"/>
  <c r="F33" i="22"/>
  <c r="F37" i="22"/>
  <c r="F41" i="22"/>
  <c r="D17" i="22"/>
  <c r="D18" i="22"/>
  <c r="G12" i="10"/>
  <c r="B18" i="27"/>
  <c r="C17" i="27"/>
  <c r="C18" i="26"/>
  <c r="B19" i="26"/>
  <c r="E21" i="26"/>
  <c r="P15" i="22"/>
  <c r="G16" i="22"/>
  <c r="X35" i="22"/>
  <c r="X34" i="22"/>
  <c r="X33" i="22"/>
  <c r="X32" i="22"/>
  <c r="X29" i="22"/>
  <c r="X28" i="22"/>
  <c r="X27" i="22"/>
  <c r="X26" i="22"/>
  <c r="X25" i="22"/>
  <c r="X30" i="22"/>
  <c r="X21" i="22"/>
  <c r="X18" i="22"/>
  <c r="X17" i="22"/>
  <c r="X16" i="22"/>
  <c r="X31" i="22"/>
  <c r="X24" i="22"/>
  <c r="X20" i="22"/>
  <c r="X23" i="22"/>
  <c r="X19" i="22"/>
  <c r="X22" i="22"/>
  <c r="T16" i="22"/>
  <c r="AC19" i="22"/>
  <c r="Z18" i="22"/>
  <c r="S16" i="22"/>
  <c r="R21" i="22"/>
  <c r="O30" i="22"/>
  <c r="O29" i="22"/>
  <c r="O28" i="22"/>
  <c r="O27" i="22"/>
  <c r="O26" i="22"/>
  <c r="O25" i="22"/>
  <c r="O34" i="22"/>
  <c r="O31" i="22"/>
  <c r="O33" i="22"/>
  <c r="O22" i="22"/>
  <c r="O32" i="22"/>
  <c r="O21" i="22"/>
  <c r="O35" i="22"/>
  <c r="O24" i="22"/>
  <c r="O20" i="22"/>
  <c r="O19" i="22"/>
  <c r="O17" i="22"/>
  <c r="O18" i="22"/>
  <c r="O23" i="22"/>
  <c r="O16" i="22"/>
  <c r="M17" i="22"/>
  <c r="L17" i="22"/>
  <c r="J18" i="22"/>
  <c r="K18" i="22"/>
  <c r="H19" i="22"/>
  <c r="F48" i="22"/>
  <c r="D19" i="22"/>
  <c r="D20" i="22"/>
  <c r="D21" i="22"/>
  <c r="D22" i="22"/>
  <c r="D23" i="22"/>
  <c r="D24" i="22"/>
  <c r="D25" i="22"/>
  <c r="D26" i="22"/>
  <c r="D27" i="22"/>
  <c r="D28" i="22"/>
  <c r="D29" i="22"/>
  <c r="D30" i="22"/>
  <c r="D31" i="22"/>
  <c r="D32" i="22"/>
  <c r="D33" i="22"/>
  <c r="D34" i="22"/>
  <c r="D35" i="22"/>
  <c r="D36" i="22"/>
  <c r="D37" i="22"/>
  <c r="D38" i="22"/>
  <c r="D39" i="22"/>
  <c r="D40" i="22"/>
  <c r="D41" i="22"/>
  <c r="D42" i="22"/>
  <c r="D43" i="22"/>
  <c r="D44" i="22"/>
  <c r="F47" i="22"/>
  <c r="F54" i="22"/>
  <c r="T17" i="22"/>
  <c r="T18" i="22"/>
  <c r="T19" i="22"/>
  <c r="T20" i="22"/>
  <c r="T21" i="22"/>
  <c r="T22" i="22"/>
  <c r="T23" i="22"/>
  <c r="T24" i="22"/>
  <c r="T25" i="22"/>
  <c r="T26" i="22"/>
  <c r="T27" i="22"/>
  <c r="T28" i="22"/>
  <c r="T29" i="22"/>
  <c r="T30" i="22"/>
  <c r="T31" i="22"/>
  <c r="T32" i="22"/>
  <c r="T33" i="22"/>
  <c r="T34" i="22"/>
  <c r="T35" i="22"/>
  <c r="M18" i="22"/>
  <c r="M19" i="22"/>
  <c r="M20" i="22"/>
  <c r="M21" i="22"/>
  <c r="M22" i="22"/>
  <c r="M23" i="22"/>
  <c r="M24" i="22"/>
  <c r="M25" i="22"/>
  <c r="M26" i="22"/>
  <c r="M27" i="22"/>
  <c r="M28" i="22"/>
  <c r="M29" i="22"/>
  <c r="M30" i="22"/>
  <c r="M31" i="22"/>
  <c r="M32" i="22"/>
  <c r="M33" i="22"/>
  <c r="M34" i="22"/>
  <c r="M35" i="22"/>
  <c r="AB15" i="22"/>
  <c r="AD15" i="22"/>
  <c r="AB16" i="22"/>
  <c r="AD16" i="22" s="1"/>
  <c r="AA15" i="22"/>
  <c r="Y16" i="22" s="1"/>
  <c r="O47" i="22"/>
  <c r="O52" i="22"/>
  <c r="X47" i="22"/>
  <c r="X52" i="22"/>
  <c r="R13" i="10"/>
  <c r="C18" i="27"/>
  <c r="B19" i="27"/>
  <c r="E22" i="26"/>
  <c r="C19" i="26"/>
  <c r="B20" i="26"/>
  <c r="H20" i="22"/>
  <c r="K19" i="22"/>
  <c r="L18" i="22"/>
  <c r="J19" i="22"/>
  <c r="R22" i="22"/>
  <c r="AC20" i="22"/>
  <c r="X48" i="22"/>
  <c r="I16" i="22"/>
  <c r="G17" i="22"/>
  <c r="O48" i="22"/>
  <c r="F52" i="22"/>
  <c r="Q17" i="22"/>
  <c r="Z19" i="22"/>
  <c r="F53" i="22"/>
  <c r="X53" i="22"/>
  <c r="X54" i="22"/>
  <c r="C19" i="27"/>
  <c r="B20" i="27"/>
  <c r="C20" i="26"/>
  <c r="B21" i="26"/>
  <c r="E23" i="26"/>
  <c r="I17" i="22"/>
  <c r="P17" i="22"/>
  <c r="R23" i="22"/>
  <c r="H21" i="22"/>
  <c r="P16" i="22"/>
  <c r="L19" i="22"/>
  <c r="J20" i="22"/>
  <c r="K20" i="22"/>
  <c r="Z20" i="22"/>
  <c r="S17" i="22"/>
  <c r="Q18" i="22"/>
  <c r="AC21" i="22"/>
  <c r="R14" i="10"/>
  <c r="C20" i="27"/>
  <c r="B21" i="27"/>
  <c r="E24" i="26"/>
  <c r="C21" i="26"/>
  <c r="B22" i="26"/>
  <c r="AC22" i="22"/>
  <c r="G18" i="22"/>
  <c r="S18" i="22"/>
  <c r="Q19" i="22"/>
  <c r="Z21" i="22"/>
  <c r="L20" i="22"/>
  <c r="J21" i="22"/>
  <c r="K21" i="22"/>
  <c r="H22" i="22"/>
  <c r="R24" i="22"/>
  <c r="R15" i="10"/>
  <c r="G14" i="10"/>
  <c r="G13" i="10"/>
  <c r="C21" i="27"/>
  <c r="B22" i="27"/>
  <c r="C22" i="26"/>
  <c r="B23" i="26"/>
  <c r="E25" i="26"/>
  <c r="S19" i="22"/>
  <c r="H23" i="22"/>
  <c r="Z22" i="22"/>
  <c r="AC23" i="22"/>
  <c r="I18" i="22"/>
  <c r="G19" i="22"/>
  <c r="R25" i="22"/>
  <c r="L21" i="22"/>
  <c r="J22" i="22"/>
  <c r="K22" i="22"/>
  <c r="C22" i="27"/>
  <c r="B23" i="27"/>
  <c r="E26" i="26"/>
  <c r="C23" i="26"/>
  <c r="B24" i="26"/>
  <c r="I19" i="22"/>
  <c r="P19" i="22"/>
  <c r="L22" i="22"/>
  <c r="J23" i="22"/>
  <c r="K23" i="22"/>
  <c r="H24" i="22"/>
  <c r="AC24" i="22"/>
  <c r="Z23" i="22"/>
  <c r="R26" i="22"/>
  <c r="P18" i="22"/>
  <c r="Q20" i="22"/>
  <c r="G15" i="10"/>
  <c r="R16" i="10"/>
  <c r="C23" i="27"/>
  <c r="B24" i="27"/>
  <c r="C24" i="26"/>
  <c r="B25" i="26"/>
  <c r="E27" i="26"/>
  <c r="G20" i="22"/>
  <c r="R27" i="22"/>
  <c r="Z24" i="22"/>
  <c r="H25" i="22"/>
  <c r="S20" i="22"/>
  <c r="AC25" i="22"/>
  <c r="L23" i="22"/>
  <c r="J24" i="22"/>
  <c r="K24" i="22"/>
  <c r="R17" i="10"/>
  <c r="C24" i="27"/>
  <c r="B25" i="27"/>
  <c r="E28" i="26"/>
  <c r="C25" i="26"/>
  <c r="B26" i="26"/>
  <c r="Z25" i="22"/>
  <c r="R28" i="22"/>
  <c r="H26" i="22"/>
  <c r="AC26" i="22"/>
  <c r="K25" i="22"/>
  <c r="L24" i="22"/>
  <c r="J25" i="22"/>
  <c r="Q21" i="22"/>
  <c r="I20" i="22"/>
  <c r="G21" i="22"/>
  <c r="R18" i="10"/>
  <c r="G17" i="10"/>
  <c r="G16" i="10"/>
  <c r="B26" i="27"/>
  <c r="C25" i="27"/>
  <c r="C26" i="26"/>
  <c r="B27" i="26"/>
  <c r="E29" i="26"/>
  <c r="Z26" i="22"/>
  <c r="P20" i="22"/>
  <c r="K26" i="22"/>
  <c r="L25" i="22"/>
  <c r="J26" i="22"/>
  <c r="H27" i="22"/>
  <c r="R29" i="22"/>
  <c r="I21" i="22"/>
  <c r="P21" i="22"/>
  <c r="S21" i="22"/>
  <c r="Q22" i="22"/>
  <c r="AC27" i="22"/>
  <c r="R19" i="10"/>
  <c r="G18" i="10"/>
  <c r="C26" i="27"/>
  <c r="B27" i="27"/>
  <c r="E30" i="26"/>
  <c r="C27" i="26"/>
  <c r="B28" i="26"/>
  <c r="S22" i="22"/>
  <c r="Q23" i="22"/>
  <c r="K27" i="22"/>
  <c r="L26" i="22"/>
  <c r="J27" i="22"/>
  <c r="Z27" i="22"/>
  <c r="H28" i="22"/>
  <c r="AC28" i="22"/>
  <c r="G22" i="22"/>
  <c r="R30" i="22"/>
  <c r="R20" i="10"/>
  <c r="G19" i="10"/>
  <c r="C27" i="27"/>
  <c r="B28" i="27"/>
  <c r="C28" i="26"/>
  <c r="B29" i="26"/>
  <c r="E31" i="26"/>
  <c r="S23" i="22"/>
  <c r="Q24" i="22"/>
  <c r="R31" i="22"/>
  <c r="AC29" i="22"/>
  <c r="I22" i="22"/>
  <c r="P22" i="22"/>
  <c r="H29" i="22"/>
  <c r="K28" i="22"/>
  <c r="L27" i="22"/>
  <c r="J28" i="22"/>
  <c r="Z28" i="22"/>
  <c r="G23" i="22"/>
  <c r="I23" i="22"/>
  <c r="P23" i="22"/>
  <c r="C28" i="27"/>
  <c r="B29" i="27"/>
  <c r="B30" i="26"/>
  <c r="C29" i="26"/>
  <c r="E32" i="26"/>
  <c r="K29" i="22"/>
  <c r="L28" i="22"/>
  <c r="J29" i="22"/>
  <c r="AC30" i="22"/>
  <c r="S24" i="22"/>
  <c r="Q25" i="22"/>
  <c r="Z29" i="22"/>
  <c r="H30" i="22"/>
  <c r="R32" i="22"/>
  <c r="G20" i="10"/>
  <c r="G51" i="10" s="1"/>
  <c r="C29" i="27"/>
  <c r="B30" i="27"/>
  <c r="B31" i="26"/>
  <c r="C30" i="26"/>
  <c r="S25" i="22"/>
  <c r="Q26" i="22"/>
  <c r="H31" i="22"/>
  <c r="G24" i="22"/>
  <c r="R33" i="22"/>
  <c r="AC31" i="22"/>
  <c r="K30" i="22"/>
  <c r="L29" i="22"/>
  <c r="J30" i="22"/>
  <c r="Z30" i="22"/>
  <c r="R21" i="10"/>
  <c r="Y37" i="29"/>
  <c r="Y38" i="29" s="1"/>
  <c r="Y39" i="29" s="1"/>
  <c r="Y40" i="29" s="1"/>
  <c r="Y41" i="29"/>
  <c r="Y42" i="29" s="1"/>
  <c r="Y43" i="29" s="1"/>
  <c r="Y44" i="29" s="1"/>
  <c r="C30" i="27"/>
  <c r="B31" i="27"/>
  <c r="B32" i="26"/>
  <c r="C31" i="26"/>
  <c r="S26" i="22"/>
  <c r="Q27" i="22"/>
  <c r="L30" i="22"/>
  <c r="J31" i="22"/>
  <c r="K31" i="22"/>
  <c r="R34" i="22"/>
  <c r="I24" i="22"/>
  <c r="P24" i="22"/>
  <c r="Z31" i="22"/>
  <c r="AC32" i="22"/>
  <c r="AC33" i="22"/>
  <c r="H32" i="22"/>
  <c r="G21" i="10"/>
  <c r="C31" i="27"/>
  <c r="B32" i="27"/>
  <c r="B33" i="26"/>
  <c r="C32" i="26"/>
  <c r="R35" i="22"/>
  <c r="S27" i="22"/>
  <c r="Q28" i="22"/>
  <c r="AC34" i="22"/>
  <c r="G25" i="22"/>
  <c r="K32" i="22"/>
  <c r="L31" i="22"/>
  <c r="J32" i="22"/>
  <c r="H33" i="22"/>
  <c r="Z32" i="22"/>
  <c r="R22" i="10"/>
  <c r="C32" i="27"/>
  <c r="B33" i="27"/>
  <c r="C33" i="26"/>
  <c r="B34" i="26"/>
  <c r="Z33" i="22"/>
  <c r="H34" i="22"/>
  <c r="I25" i="22"/>
  <c r="P25" i="22"/>
  <c r="R36" i="22"/>
  <c r="AC35" i="22"/>
  <c r="S28" i="22"/>
  <c r="Q29" i="22"/>
  <c r="L32" i="22"/>
  <c r="J33" i="22"/>
  <c r="K33" i="22"/>
  <c r="G22" i="10"/>
  <c r="B34" i="27"/>
  <c r="C33" i="27"/>
  <c r="B35" i="26"/>
  <c r="C34" i="26"/>
  <c r="S29" i="22"/>
  <c r="Q30" i="22"/>
  <c r="G26" i="22"/>
  <c r="K34" i="22"/>
  <c r="L33" i="22"/>
  <c r="J34" i="22"/>
  <c r="Z34" i="22"/>
  <c r="H35" i="22"/>
  <c r="R37" i="22"/>
  <c r="R23" i="10"/>
  <c r="B35" i="27"/>
  <c r="C34" i="27"/>
  <c r="B36" i="26"/>
  <c r="C35" i="26"/>
  <c r="H36" i="22"/>
  <c r="K35" i="22"/>
  <c r="L34" i="22"/>
  <c r="J35" i="22"/>
  <c r="R38" i="22"/>
  <c r="I26" i="22"/>
  <c r="P26" i="22"/>
  <c r="S30" i="22"/>
  <c r="Q31" i="22"/>
  <c r="G23" i="10"/>
  <c r="G27" i="22"/>
  <c r="I27" i="22"/>
  <c r="P27" i="22"/>
  <c r="B36" i="27"/>
  <c r="C35" i="27"/>
  <c r="C36" i="26"/>
  <c r="B37" i="26"/>
  <c r="R39" i="22"/>
  <c r="H37" i="22"/>
  <c r="S31" i="22"/>
  <c r="Q32" i="22"/>
  <c r="L35" i="22"/>
  <c r="J36" i="22"/>
  <c r="K36" i="22"/>
  <c r="R24" i="10"/>
  <c r="R30" i="10"/>
  <c r="B37" i="27"/>
  <c r="C36" i="27"/>
  <c r="B38" i="26"/>
  <c r="C37" i="26"/>
  <c r="S32" i="22"/>
  <c r="Q33" i="22"/>
  <c r="J37" i="22"/>
  <c r="R40" i="22"/>
  <c r="L36" i="22"/>
  <c r="K37" i="22"/>
  <c r="H38" i="22"/>
  <c r="G28" i="22"/>
  <c r="G24" i="10"/>
  <c r="R31" i="10"/>
  <c r="B38" i="27"/>
  <c r="C37" i="27"/>
  <c r="B39" i="26"/>
  <c r="C38" i="26"/>
  <c r="L37" i="22"/>
  <c r="J38" i="22"/>
  <c r="K38" i="22"/>
  <c r="R41" i="22"/>
  <c r="H39" i="22"/>
  <c r="S33" i="22"/>
  <c r="Q34" i="22"/>
  <c r="I28" i="22"/>
  <c r="P28" i="22"/>
  <c r="R25" i="10"/>
  <c r="R32" i="10"/>
  <c r="B39" i="27"/>
  <c r="C38" i="27"/>
  <c r="B40" i="26"/>
  <c r="C39" i="26"/>
  <c r="S34" i="22"/>
  <c r="Q35" i="22"/>
  <c r="G29" i="22"/>
  <c r="H40" i="22"/>
  <c r="L38" i="22"/>
  <c r="J39" i="22"/>
  <c r="K39" i="22"/>
  <c r="R42" i="22"/>
  <c r="G25" i="10"/>
  <c r="R33" i="10"/>
  <c r="B40" i="27"/>
  <c r="C39" i="27"/>
  <c r="C40" i="26"/>
  <c r="B41" i="26"/>
  <c r="S35" i="22"/>
  <c r="Q36" i="22"/>
  <c r="R43" i="22"/>
  <c r="H41" i="22"/>
  <c r="L39" i="22"/>
  <c r="J40" i="22"/>
  <c r="K40" i="22"/>
  <c r="I29" i="22"/>
  <c r="P29" i="22"/>
  <c r="R26" i="10"/>
  <c r="R34" i="10"/>
  <c r="B41" i="27"/>
  <c r="C40" i="27"/>
  <c r="B42" i="26"/>
  <c r="C41" i="26"/>
  <c r="S36" i="22"/>
  <c r="Q37" i="22"/>
  <c r="G30" i="22"/>
  <c r="H42" i="22"/>
  <c r="L40" i="22"/>
  <c r="J41" i="22"/>
  <c r="K41" i="22"/>
  <c r="R44" i="22"/>
  <c r="R35" i="10"/>
  <c r="B42" i="27"/>
  <c r="C41" i="27"/>
  <c r="B43" i="26"/>
  <c r="C42" i="26"/>
  <c r="S37" i="22"/>
  <c r="Q38" i="22"/>
  <c r="L41" i="22"/>
  <c r="J42" i="22"/>
  <c r="K42" i="22"/>
  <c r="I30" i="22"/>
  <c r="P30" i="22"/>
  <c r="H43" i="22"/>
  <c r="G26" i="10"/>
  <c r="R36" i="10"/>
  <c r="G31" i="22"/>
  <c r="I31" i="22"/>
  <c r="P31" i="22"/>
  <c r="B43" i="27"/>
  <c r="C42" i="27"/>
  <c r="B44" i="26"/>
  <c r="C43" i="26"/>
  <c r="S38" i="22"/>
  <c r="Q39" i="22"/>
  <c r="L42" i="22"/>
  <c r="J43" i="22"/>
  <c r="K43" i="22"/>
  <c r="H44" i="22"/>
  <c r="R37" i="10"/>
  <c r="B44" i="27"/>
  <c r="C43" i="27"/>
  <c r="C44" i="26"/>
  <c r="B45" i="26"/>
  <c r="C45" i="26"/>
  <c r="S39" i="22"/>
  <c r="Q40" i="22"/>
  <c r="L43" i="22"/>
  <c r="G32" i="22"/>
  <c r="R38" i="10"/>
  <c r="B45" i="27"/>
  <c r="C44" i="27"/>
  <c r="S40" i="22"/>
  <c r="Q41" i="22"/>
  <c r="I32" i="22"/>
  <c r="P32" i="22"/>
  <c r="C45" i="27"/>
  <c r="B46" i="27"/>
  <c r="C46" i="27"/>
  <c r="S41" i="22"/>
  <c r="Q42" i="22"/>
  <c r="G33" i="22"/>
  <c r="S42" i="22"/>
  <c r="Q43" i="22"/>
  <c r="I33" i="22"/>
  <c r="P33" i="22"/>
  <c r="S43" i="22"/>
  <c r="Q44" i="22"/>
  <c r="S44" i="22"/>
  <c r="G34" i="22"/>
  <c r="S48" i="22"/>
  <c r="S47" i="22"/>
  <c r="I34" i="22"/>
  <c r="P34" i="22"/>
  <c r="G35" i="22"/>
  <c r="S53" i="22"/>
  <c r="S54" i="22"/>
  <c r="S52" i="22"/>
  <c r="I35" i="22"/>
  <c r="P35" i="22"/>
  <c r="G36" i="22"/>
  <c r="I36" i="22"/>
  <c r="P36" i="22"/>
  <c r="G37" i="22"/>
  <c r="I37" i="22"/>
  <c r="P37" i="22"/>
  <c r="G38" i="22"/>
  <c r="I38" i="22"/>
  <c r="P38" i="22"/>
  <c r="G39" i="22"/>
  <c r="I39" i="22"/>
  <c r="P39" i="22"/>
  <c r="G40" i="22"/>
  <c r="I40" i="22"/>
  <c r="P40" i="22"/>
  <c r="G41" i="22"/>
  <c r="I41" i="22"/>
  <c r="P41" i="22"/>
  <c r="G42" i="22"/>
  <c r="I42" i="22"/>
  <c r="P42" i="22"/>
  <c r="G43" i="22"/>
  <c r="I43" i="22"/>
  <c r="P43" i="22"/>
  <c r="G44" i="22"/>
  <c r="I44" i="22"/>
  <c r="P44" i="22"/>
  <c r="I47" i="22"/>
  <c r="I48" i="22"/>
  <c r="I53" i="22"/>
  <c r="I52" i="22"/>
  <c r="I54" i="22"/>
  <c r="E9" i="10"/>
  <c r="E48" i="10"/>
  <c r="I48" i="10"/>
  <c r="N19" i="20"/>
  <c r="N20" i="20"/>
  <c r="N21" i="20"/>
  <c r="N22" i="20"/>
  <c r="N23" i="20"/>
  <c r="N24" i="20"/>
  <c r="N25" i="20"/>
  <c r="N26" i="20"/>
  <c r="N27" i="20"/>
  <c r="N28" i="20"/>
  <c r="N29" i="20"/>
  <c r="N30" i="20"/>
  <c r="N31" i="20"/>
  <c r="N32" i="20"/>
  <c r="N33" i="20"/>
  <c r="N34" i="20"/>
  <c r="N35" i="20"/>
  <c r="N36" i="20"/>
  <c r="N37" i="20"/>
  <c r="N38" i="20"/>
  <c r="N39" i="20"/>
  <c r="N40" i="20"/>
  <c r="N41" i="20"/>
  <c r="N42" i="20"/>
  <c r="N43" i="20"/>
  <c r="N44" i="20"/>
  <c r="N45" i="20"/>
  <c r="N46" i="20"/>
  <c r="N18" i="20"/>
  <c r="Q17" i="20"/>
  <c r="Q18" i="20"/>
  <c r="Q19" i="20"/>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M17"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M16" i="20"/>
  <c r="H16" i="20"/>
  <c r="H17" i="20"/>
  <c r="H18" i="20" s="1"/>
  <c r="H19" i="20" s="1"/>
  <c r="H20" i="20" s="1"/>
  <c r="H21" i="20" s="1"/>
  <c r="H22" i="20" s="1"/>
  <c r="H23" i="20" s="1"/>
  <c r="H24" i="20" s="1"/>
  <c r="H25" i="20" s="1"/>
  <c r="H26" i="20" s="1"/>
  <c r="H27" i="20" s="1"/>
  <c r="H28" i="20" s="1"/>
  <c r="H29" i="20" s="1"/>
  <c r="H30" i="20" s="1"/>
  <c r="H31" i="20" s="1"/>
  <c r="H32" i="20" s="1"/>
  <c r="F16" i="20"/>
  <c r="B15" i="20"/>
  <c r="B16" i="20"/>
  <c r="B17" i="20"/>
  <c r="N8" i="20"/>
  <c r="K8" i="20"/>
  <c r="N7" i="20"/>
  <c r="K7" i="20"/>
  <c r="L16" i="20"/>
  <c r="J17" i="20" s="1"/>
  <c r="H7" i="20"/>
  <c r="N6" i="20"/>
  <c r="K6" i="20"/>
  <c r="H6" i="20"/>
  <c r="H8" i="20" s="1"/>
  <c r="M17" i="19"/>
  <c r="M16" i="19"/>
  <c r="O17" i="20"/>
  <c r="O45" i="20" s="1"/>
  <c r="R45" i="20" s="1"/>
  <c r="B18" i="20"/>
  <c r="O35" i="20"/>
  <c r="O43" i="20"/>
  <c r="O39" i="20"/>
  <c r="O40" i="20"/>
  <c r="R40" i="20"/>
  <c r="O32" i="20"/>
  <c r="O28" i="20"/>
  <c r="O26" i="20"/>
  <c r="O46" i="20"/>
  <c r="O37" i="20"/>
  <c r="O38" i="20"/>
  <c r="O34" i="20"/>
  <c r="O29" i="20"/>
  <c r="O27" i="20"/>
  <c r="O25" i="20"/>
  <c r="O23" i="20"/>
  <c r="O21" i="20"/>
  <c r="O19" i="20"/>
  <c r="O22" i="20"/>
  <c r="O20" i="20"/>
  <c r="O18" i="20"/>
  <c r="B19" i="20"/>
  <c r="M18" i="20"/>
  <c r="M19" i="20"/>
  <c r="M20" i="20" s="1"/>
  <c r="M21" i="20" s="1"/>
  <c r="M22" i="20" s="1"/>
  <c r="M23" i="20" s="1"/>
  <c r="M24" i="20" s="1"/>
  <c r="B20" i="20"/>
  <c r="B21" i="20"/>
  <c r="B22" i="20"/>
  <c r="B23" i="20"/>
  <c r="B24" i="20"/>
  <c r="B25" i="20"/>
  <c r="B26" i="20"/>
  <c r="B27" i="20"/>
  <c r="B28" i="20"/>
  <c r="B29" i="20"/>
  <c r="B30" i="20"/>
  <c r="B31" i="20"/>
  <c r="B32" i="20"/>
  <c r="B33" i="20"/>
  <c r="B34" i="20"/>
  <c r="B35" i="20"/>
  <c r="B36" i="20"/>
  <c r="B37" i="20"/>
  <c r="B38" i="20"/>
  <c r="B39" i="20"/>
  <c r="B40" i="20"/>
  <c r="B41" i="20"/>
  <c r="B42" i="20"/>
  <c r="B43" i="20"/>
  <c r="Z17" i="19"/>
  <c r="Z18" i="19" s="1"/>
  <c r="Z19" i="19" s="1"/>
  <c r="Z20" i="19" s="1"/>
  <c r="Z21" i="19" s="1"/>
  <c r="Z22" i="19" s="1"/>
  <c r="Z23" i="19" s="1"/>
  <c r="Z24" i="19" s="1"/>
  <c r="Z25" i="19" s="1"/>
  <c r="Z26" i="19" s="1"/>
  <c r="Z27" i="19" s="1"/>
  <c r="Z28" i="19" s="1"/>
  <c r="Z29" i="19" s="1"/>
  <c r="Z30" i="19" s="1"/>
  <c r="Z31" i="19" s="1"/>
  <c r="Z32" i="19" s="1"/>
  <c r="Z33" i="19" s="1"/>
  <c r="Z34" i="19" s="1"/>
  <c r="Z35" i="19" s="1"/>
  <c r="Z36" i="19" s="1"/>
  <c r="Z37" i="19" s="1"/>
  <c r="Z38" i="19" s="1"/>
  <c r="Z39" i="19" s="1"/>
  <c r="Z40" i="19" s="1"/>
  <c r="Z41" i="19" s="1"/>
  <c r="Z42" i="19" s="1"/>
  <c r="Z43" i="19" s="1"/>
  <c r="Z44" i="19" s="1"/>
  <c r="Z45" i="19" s="1"/>
  <c r="Z46" i="19" s="1"/>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F16" i="19"/>
  <c r="B15" i="19"/>
  <c r="N7" i="19"/>
  <c r="K7" i="19"/>
  <c r="H7" i="19"/>
  <c r="N6" i="19"/>
  <c r="K6" i="19"/>
  <c r="K8" i="19"/>
  <c r="H6" i="19"/>
  <c r="H8" i="19"/>
  <c r="L16" i="19"/>
  <c r="J17" i="19" s="1"/>
  <c r="B44" i="20"/>
  <c r="I15" i="19"/>
  <c r="G16" i="19" s="1"/>
  <c r="Y16" i="19" s="1"/>
  <c r="B16" i="19"/>
  <c r="B45" i="20"/>
  <c r="B17" i="19"/>
  <c r="Q17" i="18"/>
  <c r="Q18" i="18"/>
  <c r="Q19" i="18"/>
  <c r="Q20" i="18"/>
  <c r="Q21" i="18"/>
  <c r="Q22" i="18"/>
  <c r="Q23" i="18"/>
  <c r="Q24" i="18"/>
  <c r="Q25" i="18"/>
  <c r="Q26" i="18"/>
  <c r="Q27" i="18"/>
  <c r="Q28" i="18"/>
  <c r="Q29" i="18"/>
  <c r="Q30" i="18"/>
  <c r="Q31" i="18"/>
  <c r="Q32" i="18"/>
  <c r="Q33" i="18"/>
  <c r="Q34" i="18"/>
  <c r="Q35" i="18"/>
  <c r="Q36" i="18"/>
  <c r="Q37" i="18"/>
  <c r="Q38" i="18"/>
  <c r="Q39" i="18"/>
  <c r="Q40" i="18"/>
  <c r="Q41" i="18"/>
  <c r="Q42" i="18"/>
  <c r="Q43" i="18"/>
  <c r="Q44" i="18"/>
  <c r="Q45"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K17" i="18"/>
  <c r="K18" i="18"/>
  <c r="K19" i="18"/>
  <c r="K20" i="18"/>
  <c r="K21" i="18"/>
  <c r="K22" i="18"/>
  <c r="K23" i="18"/>
  <c r="K24" i="18"/>
  <c r="K25" i="18"/>
  <c r="K26" i="18"/>
  <c r="K27" i="18"/>
  <c r="K28" i="18"/>
  <c r="K29" i="18"/>
  <c r="K30" i="18"/>
  <c r="K31" i="18"/>
  <c r="K32" i="18"/>
  <c r="K33" i="18"/>
  <c r="K34" i="18"/>
  <c r="K35" i="18"/>
  <c r="K36" i="18"/>
  <c r="K37" i="18"/>
  <c r="K38" i="18"/>
  <c r="K39" i="18"/>
  <c r="K40" i="18"/>
  <c r="K41" i="18"/>
  <c r="K42" i="18"/>
  <c r="K43" i="18"/>
  <c r="K44" i="18"/>
  <c r="K45"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M16" i="18"/>
  <c r="M16" i="26"/>
  <c r="N7" i="18"/>
  <c r="O16" i="18" s="1"/>
  <c r="N6" i="18"/>
  <c r="N8" i="18"/>
  <c r="K6" i="18"/>
  <c r="M15" i="5"/>
  <c r="M15" i="27"/>
  <c r="N7" i="5"/>
  <c r="N6" i="5"/>
  <c r="N8" i="5"/>
  <c r="N18" i="5"/>
  <c r="N19" i="5"/>
  <c r="N20" i="5" s="1"/>
  <c r="N21" i="5" s="1"/>
  <c r="N22" i="5" s="1"/>
  <c r="N23" i="5"/>
  <c r="N24" i="5" s="1"/>
  <c r="N25" i="5" s="1"/>
  <c r="N26" i="5" s="1"/>
  <c r="N27" i="5"/>
  <c r="N28" i="5" s="1"/>
  <c r="N29" i="5" s="1"/>
  <c r="N30" i="5" s="1"/>
  <c r="N31" i="5" s="1"/>
  <c r="N32" i="5" s="1"/>
  <c r="N33" i="5" s="1"/>
  <c r="N34" i="5" s="1"/>
  <c r="N35" i="5" s="1"/>
  <c r="N36" i="5" s="1"/>
  <c r="N37" i="5" s="1"/>
  <c r="N38" i="5" s="1"/>
  <c r="N39" i="5" s="1"/>
  <c r="N40" i="5" s="1"/>
  <c r="N41" i="5" s="1"/>
  <c r="N42" i="5" s="1"/>
  <c r="N43" i="5" s="1"/>
  <c r="N44" i="5" s="1"/>
  <c r="N45" i="5" s="1"/>
  <c r="N46" i="5" s="1"/>
  <c r="A17" i="5"/>
  <c r="A18" i="5" s="1"/>
  <c r="A19" i="5" s="1"/>
  <c r="A20" i="5" s="1"/>
  <c r="A21" i="5"/>
  <c r="A22" i="5" s="1"/>
  <c r="A23" i="5" s="1"/>
  <c r="A24" i="5" s="1"/>
  <c r="A25" i="5"/>
  <c r="A26" i="5" s="1"/>
  <c r="A27" i="5" s="1"/>
  <c r="A28" i="5" s="1"/>
  <c r="A29" i="5"/>
  <c r="A30" i="5" s="1"/>
  <c r="A31" i="5" s="1"/>
  <c r="A32" i="5" s="1"/>
  <c r="A33" i="5" s="1"/>
  <c r="A34" i="5" s="1"/>
  <c r="A35" i="5" s="1"/>
  <c r="A36" i="5" s="1"/>
  <c r="A37" i="5" s="1"/>
  <c r="A38" i="5" s="1"/>
  <c r="A39" i="5" s="1"/>
  <c r="A40" i="5" s="1"/>
  <c r="A41" i="5" s="1"/>
  <c r="A42" i="5" s="1"/>
  <c r="A43" i="5" s="1"/>
  <c r="A44" i="5" s="1"/>
  <c r="A45" i="5" s="1"/>
  <c r="B15" i="5"/>
  <c r="C15" i="5" s="1"/>
  <c r="O16" i="26"/>
  <c r="M17" i="26"/>
  <c r="B18" i="19"/>
  <c r="M16" i="5"/>
  <c r="B16" i="5"/>
  <c r="K8" i="18"/>
  <c r="K17" i="17"/>
  <c r="L16" i="17"/>
  <c r="J17" i="17"/>
  <c r="J17" i="28"/>
  <c r="Z17" i="17"/>
  <c r="Z18" i="17"/>
  <c r="Z19" i="17"/>
  <c r="Z20" i="17"/>
  <c r="Z21" i="17"/>
  <c r="Z22" i="17"/>
  <c r="Z23" i="17"/>
  <c r="Z24" i="17"/>
  <c r="Z25" i="17"/>
  <c r="Z26" i="17"/>
  <c r="Z27" i="17"/>
  <c r="Z28" i="17"/>
  <c r="Z29" i="17"/>
  <c r="Z30" i="17"/>
  <c r="Z31" i="17"/>
  <c r="Z32" i="17"/>
  <c r="Z33" i="17"/>
  <c r="Z34" i="17"/>
  <c r="Z35" i="17"/>
  <c r="N17" i="17"/>
  <c r="N18" i="17"/>
  <c r="E17" i="17"/>
  <c r="E18"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F16" i="17"/>
  <c r="K17" i="5"/>
  <c r="K7" i="5"/>
  <c r="K6" i="5"/>
  <c r="K8" i="5" s="1"/>
  <c r="L45" i="18"/>
  <c r="O42" i="26"/>
  <c r="O34" i="26"/>
  <c r="O39" i="26"/>
  <c r="O27" i="26"/>
  <c r="O23" i="26"/>
  <c r="O19" i="26"/>
  <c r="O35" i="26"/>
  <c r="O45" i="26"/>
  <c r="O38" i="26"/>
  <c r="O37" i="26"/>
  <c r="O25" i="26"/>
  <c r="O21" i="26"/>
  <c r="O17" i="26"/>
  <c r="O44" i="26"/>
  <c r="O36" i="26"/>
  <c r="O33" i="26"/>
  <c r="O28" i="26"/>
  <c r="O24" i="26"/>
  <c r="O43" i="26"/>
  <c r="O40" i="26"/>
  <c r="O41" i="26"/>
  <c r="O31" i="26"/>
  <c r="O26" i="26"/>
  <c r="O22" i="26"/>
  <c r="O18" i="26"/>
  <c r="O32" i="26"/>
  <c r="O29" i="26"/>
  <c r="O30" i="26"/>
  <c r="O20" i="26"/>
  <c r="M17" i="17"/>
  <c r="M17" i="28"/>
  <c r="O17" i="28" s="1"/>
  <c r="B19" i="19"/>
  <c r="B17" i="5"/>
  <c r="C17" i="5" s="1"/>
  <c r="L17" i="17"/>
  <c r="J18" i="17"/>
  <c r="J18" i="28"/>
  <c r="K18" i="17"/>
  <c r="E19" i="17"/>
  <c r="N19" i="17"/>
  <c r="D17" i="17"/>
  <c r="L16" i="5"/>
  <c r="J17" i="5" s="1"/>
  <c r="M18" i="26"/>
  <c r="O17" i="17"/>
  <c r="B20" i="19"/>
  <c r="B18" i="5"/>
  <c r="C18" i="5" s="1"/>
  <c r="L18" i="17"/>
  <c r="J19" i="17"/>
  <c r="J19" i="28"/>
  <c r="K19" i="17"/>
  <c r="F17" i="17"/>
  <c r="N20" i="17"/>
  <c r="F39" i="10"/>
  <c r="E20" i="17"/>
  <c r="M19" i="26"/>
  <c r="M18" i="17"/>
  <c r="M18" i="28"/>
  <c r="O18" i="28" s="1"/>
  <c r="B21" i="19"/>
  <c r="B19" i="5"/>
  <c r="C19" i="5" s="1"/>
  <c r="K20" i="17"/>
  <c r="L19" i="17"/>
  <c r="J20" i="17"/>
  <c r="N21" i="17"/>
  <c r="E21" i="17"/>
  <c r="D18" i="17"/>
  <c r="M20" i="26"/>
  <c r="O18" i="17"/>
  <c r="M19" i="17"/>
  <c r="M19" i="28"/>
  <c r="B22" i="19"/>
  <c r="B20" i="5"/>
  <c r="K21" i="17"/>
  <c r="L20" i="17"/>
  <c r="J21" i="17"/>
  <c r="E22" i="17"/>
  <c r="N22" i="17"/>
  <c r="F18" i="17"/>
  <c r="M21" i="26"/>
  <c r="O19" i="17"/>
  <c r="B23" i="19"/>
  <c r="B21" i="5"/>
  <c r="C21" i="5" s="1"/>
  <c r="L21" i="17"/>
  <c r="J22" i="17"/>
  <c r="K22" i="17"/>
  <c r="D19" i="17"/>
  <c r="E23" i="17"/>
  <c r="N23" i="17"/>
  <c r="M22" i="26"/>
  <c r="B24" i="19"/>
  <c r="B22" i="5"/>
  <c r="C22" i="5" s="1"/>
  <c r="L22" i="17"/>
  <c r="J23" i="17"/>
  <c r="K23" i="17"/>
  <c r="E24" i="17"/>
  <c r="N24" i="17"/>
  <c r="F19" i="17"/>
  <c r="M23" i="26"/>
  <c r="M20" i="17"/>
  <c r="B25" i="19"/>
  <c r="B23" i="5"/>
  <c r="C23" i="5" s="1"/>
  <c r="K24" i="17"/>
  <c r="L23" i="17"/>
  <c r="J24" i="17"/>
  <c r="E25" i="17"/>
  <c r="D20" i="17"/>
  <c r="N25" i="17"/>
  <c r="M24" i="26"/>
  <c r="O20" i="17"/>
  <c r="M21" i="17"/>
  <c r="B26" i="19"/>
  <c r="B24" i="5"/>
  <c r="K25" i="17"/>
  <c r="L24" i="17"/>
  <c r="J25" i="17"/>
  <c r="E26" i="17"/>
  <c r="N26" i="17"/>
  <c r="F20" i="17"/>
  <c r="M25" i="26"/>
  <c r="O21" i="17"/>
  <c r="B27" i="19"/>
  <c r="B25" i="5"/>
  <c r="C25" i="5" s="1"/>
  <c r="L25" i="17"/>
  <c r="J26" i="17"/>
  <c r="K26" i="17"/>
  <c r="N27" i="17"/>
  <c r="E27" i="17"/>
  <c r="D21" i="17"/>
  <c r="M26" i="26"/>
  <c r="B28" i="19"/>
  <c r="B26" i="5"/>
  <c r="C26" i="5" s="1"/>
  <c r="L26" i="17"/>
  <c r="J27" i="17"/>
  <c r="K27" i="17"/>
  <c r="F21" i="17"/>
  <c r="N28" i="17"/>
  <c r="E28" i="17"/>
  <c r="M27" i="26"/>
  <c r="M22" i="17"/>
  <c r="B29" i="19"/>
  <c r="B27" i="5"/>
  <c r="C27" i="5" s="1"/>
  <c r="K28" i="17"/>
  <c r="L27" i="17"/>
  <c r="J28" i="17"/>
  <c r="E29" i="17"/>
  <c r="D22" i="17"/>
  <c r="N29" i="17"/>
  <c r="M28" i="26"/>
  <c r="O22" i="17"/>
  <c r="B30" i="19"/>
  <c r="B28" i="5"/>
  <c r="K29" i="17"/>
  <c r="L28" i="17"/>
  <c r="J29" i="17"/>
  <c r="N30" i="17"/>
  <c r="F22" i="17"/>
  <c r="E30" i="17"/>
  <c r="M29" i="26"/>
  <c r="M23" i="17"/>
  <c r="B31" i="19"/>
  <c r="B29" i="5"/>
  <c r="C29" i="5" s="1"/>
  <c r="L29" i="17"/>
  <c r="J30" i="17"/>
  <c r="K30" i="17"/>
  <c r="E31" i="17"/>
  <c r="N31" i="17"/>
  <c r="D23" i="17"/>
  <c r="M30" i="26"/>
  <c r="O23" i="17"/>
  <c r="M24" i="17"/>
  <c r="B32" i="19"/>
  <c r="B30" i="5"/>
  <c r="L30" i="17"/>
  <c r="J31" i="17"/>
  <c r="K31" i="17"/>
  <c r="N32" i="17"/>
  <c r="F23" i="17"/>
  <c r="E32" i="17"/>
  <c r="M31" i="26"/>
  <c r="O24" i="17"/>
  <c r="M25" i="17"/>
  <c r="B33" i="19"/>
  <c r="K32" i="17"/>
  <c r="L31" i="17"/>
  <c r="J32" i="17"/>
  <c r="D24" i="17"/>
  <c r="N33" i="17"/>
  <c r="M32" i="26"/>
  <c r="O25" i="17"/>
  <c r="B34" i="19"/>
  <c r="K33" i="17"/>
  <c r="L32" i="17"/>
  <c r="J33" i="17"/>
  <c r="N34" i="17"/>
  <c r="F24" i="17"/>
  <c r="M33" i="26"/>
  <c r="M26" i="17"/>
  <c r="B35" i="19"/>
  <c r="L33" i="17"/>
  <c r="K34" i="17"/>
  <c r="N35" i="17"/>
  <c r="D25" i="17"/>
  <c r="J34" i="17"/>
  <c r="M34" i="26"/>
  <c r="O26" i="17"/>
  <c r="B36" i="19"/>
  <c r="L34" i="17"/>
  <c r="K35" i="17"/>
  <c r="F25" i="17"/>
  <c r="M35" i="26"/>
  <c r="J35" i="17"/>
  <c r="M27" i="17"/>
  <c r="B37" i="19"/>
  <c r="L35" i="17"/>
  <c r="D26" i="17"/>
  <c r="M36" i="26"/>
  <c r="O27" i="17"/>
  <c r="B38" i="19"/>
  <c r="F26" i="17"/>
  <c r="M37" i="26"/>
  <c r="M28" i="17"/>
  <c r="B39" i="19"/>
  <c r="D27" i="17"/>
  <c r="M38" i="26"/>
  <c r="O28" i="17"/>
  <c r="B40" i="19"/>
  <c r="F27" i="17"/>
  <c r="M39" i="26"/>
  <c r="M29" i="17"/>
  <c r="B41" i="19"/>
  <c r="D28" i="17"/>
  <c r="M40" i="26"/>
  <c r="O29" i="17"/>
  <c r="M30" i="17"/>
  <c r="B42" i="19"/>
  <c r="F28" i="17"/>
  <c r="M41" i="26"/>
  <c r="O30" i="17"/>
  <c r="M31" i="17"/>
  <c r="B43" i="19"/>
  <c r="D29" i="17"/>
  <c r="M42" i="26"/>
  <c r="O31" i="17"/>
  <c r="B44" i="19"/>
  <c r="F29" i="17"/>
  <c r="M43" i="26"/>
  <c r="M32" i="17"/>
  <c r="B45" i="19"/>
  <c r="D30" i="17"/>
  <c r="M44" i="26"/>
  <c r="O32" i="17"/>
  <c r="F30" i="17"/>
  <c r="M45" i="26"/>
  <c r="M33" i="17"/>
  <c r="D31" i="17"/>
  <c r="O33" i="17"/>
  <c r="F31" i="17"/>
  <c r="M34" i="17"/>
  <c r="D32" i="17"/>
  <c r="O34" i="17"/>
  <c r="F32" i="17"/>
  <c r="M35" i="17"/>
  <c r="H7" i="5"/>
  <c r="O35" i="17"/>
  <c r="O16" i="3"/>
  <c r="M6" i="3"/>
  <c r="M8" i="3"/>
  <c r="M7" i="3"/>
  <c r="M17" i="3"/>
  <c r="M18" i="3"/>
  <c r="N16" i="3"/>
  <c r="N18" i="3"/>
  <c r="N17" i="3"/>
  <c r="L17" i="3"/>
  <c r="M19" i="3"/>
  <c r="N19" i="3"/>
  <c r="L18" i="3"/>
  <c r="L19" i="3"/>
  <c r="L20" i="3"/>
  <c r="L21" i="3"/>
  <c r="M20" i="3"/>
  <c r="N20" i="3"/>
  <c r="C55" i="10"/>
  <c r="H55" i="10"/>
  <c r="C42" i="10"/>
  <c r="M21" i="3"/>
  <c r="N21" i="3"/>
  <c r="L22" i="3"/>
  <c r="M22" i="3"/>
  <c r="N22" i="3"/>
  <c r="L23" i="3"/>
  <c r="J27" i="12"/>
  <c r="J26" i="12"/>
  <c r="J25" i="12"/>
  <c r="J24" i="12"/>
  <c r="J23" i="12"/>
  <c r="J22" i="12"/>
  <c r="J21" i="12"/>
  <c r="J20" i="12"/>
  <c r="J19" i="12"/>
  <c r="J18" i="12"/>
  <c r="J17" i="12"/>
  <c r="J16" i="12"/>
  <c r="J15" i="12"/>
  <c r="J14" i="12"/>
  <c r="J13" i="12"/>
  <c r="J12" i="12"/>
  <c r="J11" i="12"/>
  <c r="J10" i="12"/>
  <c r="A20" i="12"/>
  <c r="A21" i="12"/>
  <c r="A22" i="12"/>
  <c r="A23" i="12"/>
  <c r="A24" i="12"/>
  <c r="A25" i="12"/>
  <c r="A26" i="12"/>
  <c r="A27" i="12"/>
  <c r="A28" i="12"/>
  <c r="M20" i="12"/>
  <c r="M24" i="12"/>
  <c r="M28" i="12"/>
  <c r="L12" i="12"/>
  <c r="L13" i="12"/>
  <c r="L14" i="12"/>
  <c r="L15" i="12"/>
  <c r="L16" i="12"/>
  <c r="L17" i="12"/>
  <c r="L18" i="12"/>
  <c r="L19" i="12"/>
  <c r="L20" i="12"/>
  <c r="L21" i="12"/>
  <c r="M21" i="12"/>
  <c r="L22" i="12"/>
  <c r="M22" i="12"/>
  <c r="L23" i="12"/>
  <c r="M23" i="12"/>
  <c r="L24" i="12"/>
  <c r="L25" i="12"/>
  <c r="M25" i="12"/>
  <c r="L26" i="12"/>
  <c r="M26" i="12"/>
  <c r="L27" i="12"/>
  <c r="M27" i="12"/>
  <c r="L28" i="12"/>
  <c r="L11" i="12"/>
  <c r="B11" i="12"/>
  <c r="B12" i="12"/>
  <c r="B13" i="12"/>
  <c r="B14" i="12"/>
  <c r="B15" i="12"/>
  <c r="B16" i="12"/>
  <c r="B17" i="12"/>
  <c r="B18" i="12"/>
  <c r="B19" i="12"/>
  <c r="B20" i="12"/>
  <c r="B21" i="12"/>
  <c r="B22" i="12"/>
  <c r="B23" i="12"/>
  <c r="B24" i="12"/>
  <c r="B25" i="12"/>
  <c r="B26" i="12"/>
  <c r="B27" i="12"/>
  <c r="B28" i="12"/>
  <c r="K11" i="12"/>
  <c r="K12" i="12"/>
  <c r="K13" i="12"/>
  <c r="K14" i="12"/>
  <c r="K15" i="12"/>
  <c r="K16" i="12"/>
  <c r="K17" i="12"/>
  <c r="K18" i="12"/>
  <c r="K19" i="12"/>
  <c r="K20" i="12"/>
  <c r="K21" i="12"/>
  <c r="K22" i="12"/>
  <c r="K23" i="12"/>
  <c r="K24" i="12"/>
  <c r="K25" i="12"/>
  <c r="K26" i="12"/>
  <c r="K27" i="12"/>
  <c r="K28" i="12"/>
  <c r="M19" i="12"/>
  <c r="M23" i="3"/>
  <c r="N23" i="3"/>
  <c r="L24" i="3"/>
  <c r="M11" i="12"/>
  <c r="M17" i="12"/>
  <c r="M15" i="12"/>
  <c r="M13" i="12"/>
  <c r="M18" i="12"/>
  <c r="M16" i="12"/>
  <c r="M14" i="12"/>
  <c r="M12" i="12"/>
  <c r="M24" i="3"/>
  <c r="N24" i="3"/>
  <c r="L25" i="3"/>
  <c r="M25" i="3"/>
  <c r="N25" i="3"/>
  <c r="L26" i="3"/>
  <c r="H42" i="10"/>
  <c r="H41" i="10"/>
  <c r="M26" i="3"/>
  <c r="N26" i="3"/>
  <c r="L27" i="3"/>
  <c r="C53" i="10"/>
  <c r="C52" i="10"/>
  <c r="C51" i="10"/>
  <c r="C50" i="10"/>
  <c r="C49" i="10"/>
  <c r="Y45" i="11"/>
  <c r="Y46" i="11"/>
  <c r="Z46" i="11"/>
  <c r="Y47" i="11"/>
  <c r="Z47" i="11"/>
  <c r="L40" i="10"/>
  <c r="M27" i="3"/>
  <c r="N27" i="3"/>
  <c r="L28" i="3"/>
  <c r="AB16" i="10"/>
  <c r="AB17" i="10"/>
  <c r="AA14" i="10"/>
  <c r="AA16" i="10"/>
  <c r="AA17" i="10"/>
  <c r="AC13" i="10"/>
  <c r="AC12" i="10"/>
  <c r="AC11" i="10"/>
  <c r="AC10" i="10"/>
  <c r="R39" i="10"/>
  <c r="R40" i="10"/>
  <c r="P40" i="10"/>
  <c r="N40" i="10"/>
  <c r="B11"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F11" i="9"/>
  <c r="E12" i="9"/>
  <c r="E11" i="9"/>
  <c r="C12" i="9"/>
  <c r="U12" i="9"/>
  <c r="C11" i="9"/>
  <c r="U11" i="9"/>
  <c r="S14" i="3"/>
  <c r="G11" i="9"/>
  <c r="R15" i="3"/>
  <c r="R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S33" i="9"/>
  <c r="A16" i="9"/>
  <c r="A17" i="9"/>
  <c r="A18" i="9"/>
  <c r="A19" i="9"/>
  <c r="A20" i="9"/>
  <c r="A21" i="9"/>
  <c r="A22" i="9"/>
  <c r="A23" i="9"/>
  <c r="A24" i="9"/>
  <c r="A25" i="9"/>
  <c r="A26" i="9"/>
  <c r="A27" i="9"/>
  <c r="A28" i="9"/>
  <c r="A29" i="9"/>
  <c r="A30" i="9"/>
  <c r="A31" i="9"/>
  <c r="A32" i="9"/>
  <c r="A33" i="9"/>
  <c r="A34" i="9"/>
  <c r="A35" i="9"/>
  <c r="A36" i="9"/>
  <c r="A37" i="9"/>
  <c r="A38" i="9"/>
  <c r="A39" i="9"/>
  <c r="A40" i="9"/>
  <c r="A41" i="9"/>
  <c r="A42" i="9"/>
  <c r="V14" i="9"/>
  <c r="P14" i="9"/>
  <c r="J14" i="9"/>
  <c r="B14" i="9"/>
  <c r="B15" i="9"/>
  <c r="B16" i="9"/>
  <c r="B17" i="9"/>
  <c r="A14" i="9"/>
  <c r="A15" i="9"/>
  <c r="D13" i="9"/>
  <c r="E12" i="8"/>
  <c r="E11" i="8"/>
  <c r="D13" i="8"/>
  <c r="C12" i="8"/>
  <c r="C11" i="8"/>
  <c r="S33" i="8"/>
  <c r="V14" i="8"/>
  <c r="V15" i="8"/>
  <c r="P14" i="8"/>
  <c r="J14" i="8"/>
  <c r="J15"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E54"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W13" i="8"/>
  <c r="Q13" i="8"/>
  <c r="K13" i="8"/>
  <c r="X10" i="10"/>
  <c r="M28" i="3"/>
  <c r="N28" i="3"/>
  <c r="L29" i="3"/>
  <c r="R17" i="3"/>
  <c r="F13" i="9"/>
  <c r="S15" i="3"/>
  <c r="G12" i="9"/>
  <c r="F12" i="9"/>
  <c r="I11" i="9"/>
  <c r="I12" i="9"/>
  <c r="O12" i="9"/>
  <c r="O11" i="9"/>
  <c r="E53" i="8"/>
  <c r="K53" i="8"/>
  <c r="Q53" i="8"/>
  <c r="K54" i="8"/>
  <c r="Q54" i="8"/>
  <c r="AC14" i="10"/>
  <c r="AC16" i="10"/>
  <c r="AC17" i="10"/>
  <c r="G53" i="10"/>
  <c r="X11" i="10"/>
  <c r="Y11" i="9"/>
  <c r="Z11" i="9"/>
  <c r="F11" i="8"/>
  <c r="Y11" i="8"/>
  <c r="Z11" i="8" s="1"/>
  <c r="B18" i="9"/>
  <c r="J15" i="9"/>
  <c r="V15" i="9"/>
  <c r="P15" i="9"/>
  <c r="S11" i="9"/>
  <c r="T11" i="9"/>
  <c r="J16" i="8"/>
  <c r="V16" i="8"/>
  <c r="I14" i="8"/>
  <c r="O14" i="8"/>
  <c r="U14" i="8"/>
  <c r="P15" i="8"/>
  <c r="C10" i="7"/>
  <c r="C11" i="7"/>
  <c r="D5" i="7"/>
  <c r="D6" i="7"/>
  <c r="D7" i="7"/>
  <c r="D4" i="7"/>
  <c r="M11" i="8"/>
  <c r="N11" i="8" s="1"/>
  <c r="F13" i="8"/>
  <c r="S11" i="8"/>
  <c r="T11" i="8"/>
  <c r="M29" i="3"/>
  <c r="N29" i="3"/>
  <c r="L30" i="3"/>
  <c r="R18" i="3"/>
  <c r="F14" i="9"/>
  <c r="W14" i="8"/>
  <c r="K14" i="8"/>
  <c r="I15" i="8"/>
  <c r="M11" i="9"/>
  <c r="N11" i="9"/>
  <c r="F12" i="8"/>
  <c r="S12" i="8" s="1"/>
  <c r="T12" i="8" s="1"/>
  <c r="P16" i="9"/>
  <c r="V16" i="9"/>
  <c r="J16" i="9"/>
  <c r="B19" i="9"/>
  <c r="B20" i="9"/>
  <c r="B21" i="9"/>
  <c r="B22" i="9"/>
  <c r="B23" i="9"/>
  <c r="B24" i="9"/>
  <c r="B25" i="9"/>
  <c r="B26" i="9"/>
  <c r="B27" i="9"/>
  <c r="B28" i="9"/>
  <c r="P16" i="8"/>
  <c r="V17" i="8"/>
  <c r="J17" i="8"/>
  <c r="Q14" i="8"/>
  <c r="B8" i="7"/>
  <c r="X12" i="10"/>
  <c r="M30" i="3"/>
  <c r="N30" i="3"/>
  <c r="L31" i="3"/>
  <c r="R19" i="3"/>
  <c r="F15" i="9"/>
  <c r="U15" i="8"/>
  <c r="M12" i="8"/>
  <c r="N12" i="8"/>
  <c r="Y13" i="9"/>
  <c r="S13" i="9"/>
  <c r="M13" i="9"/>
  <c r="Y14" i="9"/>
  <c r="M14" i="9"/>
  <c r="S14" i="9"/>
  <c r="Y12" i="9"/>
  <c r="Z12" i="9"/>
  <c r="M12" i="9"/>
  <c r="N12" i="9"/>
  <c r="S12" i="9"/>
  <c r="T12" i="9"/>
  <c r="Y13" i="8"/>
  <c r="Z13" i="8"/>
  <c r="M13" i="8"/>
  <c r="N13" i="8" s="1"/>
  <c r="S13" i="8"/>
  <c r="T13" i="8" s="1"/>
  <c r="Q54" i="9"/>
  <c r="B29" i="9"/>
  <c r="B30" i="9"/>
  <c r="B31" i="9"/>
  <c r="B32" i="9"/>
  <c r="J17" i="9"/>
  <c r="V17" i="9"/>
  <c r="P17" i="9"/>
  <c r="J18" i="8"/>
  <c r="V18" i="8"/>
  <c r="K15" i="8"/>
  <c r="P17" i="8"/>
  <c r="O15" i="8"/>
  <c r="W15" i="8"/>
  <c r="B10" i="7"/>
  <c r="B11" i="7"/>
  <c r="D8" i="7"/>
  <c r="D10" i="7"/>
  <c r="D11" i="7"/>
  <c r="K27" i="6"/>
  <c r="J37" i="6"/>
  <c r="L37" i="6" s="1"/>
  <c r="I37" i="6"/>
  <c r="I5" i="6"/>
  <c r="I6"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K6" i="6"/>
  <c r="K7" i="6"/>
  <c r="K5"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X13" i="10"/>
  <c r="F14" i="8"/>
  <c r="M14" i="8" s="1"/>
  <c r="N14" i="8" s="1"/>
  <c r="M31" i="3"/>
  <c r="N31" i="3"/>
  <c r="L32" i="3"/>
  <c r="R20" i="3"/>
  <c r="F16" i="9"/>
  <c r="Y15" i="9"/>
  <c r="S15" i="9"/>
  <c r="M15" i="9"/>
  <c r="V18" i="9"/>
  <c r="J18" i="9"/>
  <c r="P18" i="9"/>
  <c r="K54" i="9"/>
  <c r="B33" i="9"/>
  <c r="B34" i="9"/>
  <c r="B35" i="9"/>
  <c r="B36" i="9"/>
  <c r="B37" i="9"/>
  <c r="B38" i="9"/>
  <c r="B39" i="9"/>
  <c r="B40" i="9"/>
  <c r="B41" i="9"/>
  <c r="B42" i="9"/>
  <c r="E54" i="9"/>
  <c r="I16" i="8"/>
  <c r="J5" i="6"/>
  <c r="L5" i="6" s="1"/>
  <c r="J6" i="6"/>
  <c r="L6" i="6"/>
  <c r="Q15" i="8"/>
  <c r="U16" i="8"/>
  <c r="P18" i="8"/>
  <c r="V19" i="8"/>
  <c r="J19" i="8"/>
  <c r="Z17" i="5"/>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S14" i="8"/>
  <c r="T14" i="8" s="1"/>
  <c r="Y14" i="8"/>
  <c r="Z14" i="8" s="1"/>
  <c r="F15" i="8"/>
  <c r="M15" i="8" s="1"/>
  <c r="N15" i="8" s="1"/>
  <c r="X14" i="10"/>
  <c r="M32" i="3"/>
  <c r="N32" i="3"/>
  <c r="L33" i="3"/>
  <c r="R21" i="3"/>
  <c r="F17" i="9"/>
  <c r="S16" i="3"/>
  <c r="G13" i="9"/>
  <c r="C13" i="9"/>
  <c r="K16" i="8"/>
  <c r="I17" i="8"/>
  <c r="G12" i="8"/>
  <c r="G11" i="8"/>
  <c r="Z18" i="5"/>
  <c r="D14" i="9"/>
  <c r="D14" i="8"/>
  <c r="Y16" i="9"/>
  <c r="M16" i="9"/>
  <c r="S16" i="9"/>
  <c r="P19" i="9"/>
  <c r="J19" i="9"/>
  <c r="V19" i="9"/>
  <c r="O16" i="8"/>
  <c r="Q16" i="8"/>
  <c r="J20" i="8"/>
  <c r="V20" i="8"/>
  <c r="P19" i="8"/>
  <c r="W16" i="8"/>
  <c r="X15" i="10"/>
  <c r="W15" i="10" s="1"/>
  <c r="F16" i="8"/>
  <c r="Y16" i="8" s="1"/>
  <c r="Z16" i="8" s="1"/>
  <c r="S15" i="8"/>
  <c r="T15" i="8"/>
  <c r="M33" i="3"/>
  <c r="N33" i="3"/>
  <c r="L34" i="3"/>
  <c r="R22" i="3"/>
  <c r="F18" i="9"/>
  <c r="U13" i="9"/>
  <c r="I13" i="9"/>
  <c r="O13" i="9"/>
  <c r="Z19" i="5"/>
  <c r="D15" i="9"/>
  <c r="D15" i="8"/>
  <c r="G13" i="8"/>
  <c r="Y17" i="9"/>
  <c r="S17" i="9"/>
  <c r="M17" i="9"/>
  <c r="V20" i="9"/>
  <c r="J20" i="9"/>
  <c r="P20" i="9"/>
  <c r="U17" i="8"/>
  <c r="K17" i="8"/>
  <c r="P20" i="8"/>
  <c r="V21" i="8"/>
  <c r="J21" i="8"/>
  <c r="O17" i="8"/>
  <c r="M16" i="8"/>
  <c r="N16" i="8" s="1"/>
  <c r="F17" i="8"/>
  <c r="S17" i="8" s="1"/>
  <c r="T17" i="8" s="1"/>
  <c r="X16" i="10"/>
  <c r="W16" i="10" s="1"/>
  <c r="M34" i="3"/>
  <c r="N34" i="3"/>
  <c r="L35" i="3"/>
  <c r="R23" i="3"/>
  <c r="F19" i="9"/>
  <c r="K13" i="9"/>
  <c r="N13" i="9"/>
  <c r="Q13" i="9"/>
  <c r="T13" i="9"/>
  <c r="W13" i="9"/>
  <c r="Z13" i="9"/>
  <c r="W17" i="8"/>
  <c r="U18" i="8"/>
  <c r="G14" i="8"/>
  <c r="Y18" i="9"/>
  <c r="M18" i="9"/>
  <c r="S18" i="9"/>
  <c r="P21" i="9"/>
  <c r="J21" i="9"/>
  <c r="V21" i="9"/>
  <c r="I18" i="8"/>
  <c r="J22" i="8"/>
  <c r="V22" i="8"/>
  <c r="P21" i="8"/>
  <c r="Q17" i="8"/>
  <c r="L36" i="3"/>
  <c r="F18" i="8"/>
  <c r="X17" i="10"/>
  <c r="Y17" i="8"/>
  <c r="Z17" i="8"/>
  <c r="M35" i="3"/>
  <c r="N35" i="3"/>
  <c r="R24" i="3"/>
  <c r="F20" i="9"/>
  <c r="U14" i="9"/>
  <c r="O14" i="9"/>
  <c r="I14" i="9"/>
  <c r="K18" i="8"/>
  <c r="I19" i="8"/>
  <c r="Y19" i="9"/>
  <c r="S19" i="9"/>
  <c r="M19" i="9"/>
  <c r="V22" i="9"/>
  <c r="J22" i="9"/>
  <c r="P22" i="9"/>
  <c r="W18" i="8"/>
  <c r="V23" i="8"/>
  <c r="J23" i="8"/>
  <c r="O18" i="8"/>
  <c r="P22" i="8"/>
  <c r="X18" i="10"/>
  <c r="F19" i="8"/>
  <c r="M19" i="8" s="1"/>
  <c r="N19" i="8" s="1"/>
  <c r="Y18" i="8"/>
  <c r="Z18" i="8" s="1"/>
  <c r="S18" i="8"/>
  <c r="T18" i="8" s="1"/>
  <c r="M18" i="8"/>
  <c r="N18" i="8"/>
  <c r="M36" i="3"/>
  <c r="N36" i="3"/>
  <c r="L37" i="3"/>
  <c r="R25" i="3"/>
  <c r="F21" i="9"/>
  <c r="N14" i="9"/>
  <c r="K14" i="9"/>
  <c r="W14" i="9"/>
  <c r="Z14" i="9"/>
  <c r="T14" i="9"/>
  <c r="Q14" i="9"/>
  <c r="O15" i="9"/>
  <c r="G15" i="8"/>
  <c r="Y20" i="9"/>
  <c r="M20" i="9"/>
  <c r="S20" i="9"/>
  <c r="P23" i="9"/>
  <c r="J23" i="9"/>
  <c r="V23" i="9"/>
  <c r="U19" i="8"/>
  <c r="W19" i="8"/>
  <c r="J24" i="8"/>
  <c r="K19" i="8"/>
  <c r="P23" i="8"/>
  <c r="Q18" i="8"/>
  <c r="S19" i="8"/>
  <c r="T19" i="8" s="1"/>
  <c r="F20" i="8"/>
  <c r="X19" i="10"/>
  <c r="M37" i="3"/>
  <c r="N37" i="3"/>
  <c r="L38" i="3"/>
  <c r="R26" i="3"/>
  <c r="F22" i="9"/>
  <c r="Q15" i="9"/>
  <c r="T15" i="9"/>
  <c r="U15" i="9"/>
  <c r="I15" i="9"/>
  <c r="S21" i="9"/>
  <c r="Y21" i="9"/>
  <c r="M21" i="9"/>
  <c r="J24" i="9"/>
  <c r="P24" i="9"/>
  <c r="J25" i="8"/>
  <c r="P24" i="8"/>
  <c r="O19" i="8"/>
  <c r="I20" i="8"/>
  <c r="U20" i="8"/>
  <c r="F21" i="8"/>
  <c r="Y21" i="8" s="1"/>
  <c r="Z21" i="8" s="1"/>
  <c r="X20" i="10"/>
  <c r="S20" i="8"/>
  <c r="T20" i="8" s="1"/>
  <c r="Y20" i="8"/>
  <c r="Z20" i="8" s="1"/>
  <c r="M20" i="8"/>
  <c r="N20" i="8" s="1"/>
  <c r="M38" i="3"/>
  <c r="N38" i="3"/>
  <c r="L39" i="3"/>
  <c r="R27" i="3"/>
  <c r="F23" i="9"/>
  <c r="O16" i="9"/>
  <c r="Q16" i="9"/>
  <c r="W15" i="9"/>
  <c r="Z15" i="9"/>
  <c r="N15" i="9"/>
  <c r="K15" i="9"/>
  <c r="I16" i="9"/>
  <c r="G16" i="8"/>
  <c r="Y22" i="9"/>
  <c r="M22" i="9"/>
  <c r="S22" i="9"/>
  <c r="P25" i="9"/>
  <c r="J25" i="9"/>
  <c r="W20" i="8"/>
  <c r="Q19" i="8"/>
  <c r="K20" i="8"/>
  <c r="P25" i="8"/>
  <c r="J26" i="8"/>
  <c r="X21" i="10"/>
  <c r="F22" i="8"/>
  <c r="S22" i="8" s="1"/>
  <c r="T22" i="8" s="1"/>
  <c r="S21" i="8"/>
  <c r="T16" i="9"/>
  <c r="O17" i="9"/>
  <c r="Q17" i="9"/>
  <c r="M39" i="3"/>
  <c r="N39" i="3"/>
  <c r="L40" i="3"/>
  <c r="R28" i="3"/>
  <c r="F24" i="9"/>
  <c r="K16" i="9"/>
  <c r="N16" i="9"/>
  <c r="U16" i="9"/>
  <c r="Y23" i="9"/>
  <c r="M23" i="9"/>
  <c r="S23" i="9"/>
  <c r="J26" i="9"/>
  <c r="P26" i="9"/>
  <c r="P26" i="8"/>
  <c r="J27" i="8"/>
  <c r="I21" i="8"/>
  <c r="O20" i="8"/>
  <c r="U21" i="8"/>
  <c r="F23" i="8"/>
  <c r="M23" i="8" s="1"/>
  <c r="N23" i="8" s="1"/>
  <c r="X22" i="10"/>
  <c r="T17" i="9"/>
  <c r="M40" i="3"/>
  <c r="R29" i="3"/>
  <c r="F25" i="9"/>
  <c r="O18" i="9"/>
  <c r="I17" i="9"/>
  <c r="K17" i="9"/>
  <c r="W16" i="9"/>
  <c r="U17" i="9"/>
  <c r="Z16" i="9"/>
  <c r="G17" i="8"/>
  <c r="S24" i="9"/>
  <c r="M24" i="9"/>
  <c r="P27" i="9"/>
  <c r="J27" i="9"/>
  <c r="Q20" i="8"/>
  <c r="K21" i="8"/>
  <c r="W21" i="8"/>
  <c r="J28" i="8"/>
  <c r="P27" i="8"/>
  <c r="T18" i="9"/>
  <c r="X23" i="10"/>
  <c r="F24" i="8"/>
  <c r="M24" i="8" s="1"/>
  <c r="N24" i="8" s="1"/>
  <c r="M41" i="3"/>
  <c r="N41" i="3"/>
  <c r="N40" i="3"/>
  <c r="L41" i="3"/>
  <c r="R30" i="3"/>
  <c r="F26" i="9"/>
  <c r="N17" i="9"/>
  <c r="I18" i="9"/>
  <c r="N18" i="9"/>
  <c r="W13" i="10"/>
  <c r="Q18" i="9"/>
  <c r="W17" i="9"/>
  <c r="Z17" i="9"/>
  <c r="S25" i="9"/>
  <c r="M25" i="9"/>
  <c r="J28" i="9"/>
  <c r="P28" i="9"/>
  <c r="I22" i="8"/>
  <c r="K22" i="8"/>
  <c r="J29" i="8"/>
  <c r="U22" i="8"/>
  <c r="O21" i="8"/>
  <c r="P28" i="8"/>
  <c r="O19" i="9"/>
  <c r="Q19" i="9"/>
  <c r="K18" i="9"/>
  <c r="L42" i="3"/>
  <c r="S24" i="8"/>
  <c r="T24" i="8" s="1"/>
  <c r="F25" i="8"/>
  <c r="M25" i="8" s="1"/>
  <c r="N25" i="8" s="1"/>
  <c r="X24" i="10"/>
  <c r="M42" i="3"/>
  <c r="N42" i="3"/>
  <c r="R31" i="3"/>
  <c r="F27" i="9"/>
  <c r="G49" i="10"/>
  <c r="U18" i="9"/>
  <c r="Z18" i="9"/>
  <c r="G18" i="8"/>
  <c r="S26" i="9"/>
  <c r="M26" i="9"/>
  <c r="J29" i="9"/>
  <c r="Q21" i="8"/>
  <c r="T21" i="8"/>
  <c r="J30" i="8"/>
  <c r="I23" i="8"/>
  <c r="W22" i="8"/>
  <c r="T19" i="9"/>
  <c r="L43" i="3"/>
  <c r="I19" i="9"/>
  <c r="F26" i="8"/>
  <c r="M26" i="8" s="1"/>
  <c r="N26" i="8" s="1"/>
  <c r="X25" i="10"/>
  <c r="W18" i="9"/>
  <c r="K19" i="9"/>
  <c r="M43" i="3"/>
  <c r="N43" i="3"/>
  <c r="L44" i="3"/>
  <c r="R32" i="3"/>
  <c r="F28" i="9"/>
  <c r="O20" i="9"/>
  <c r="T20" i="9"/>
  <c r="S27" i="9"/>
  <c r="M27" i="9"/>
  <c r="J30" i="9"/>
  <c r="W45" i="8"/>
  <c r="W49" i="8"/>
  <c r="J31" i="8"/>
  <c r="O22" i="8"/>
  <c r="U23" i="8"/>
  <c r="K23" i="8"/>
  <c r="U19" i="9"/>
  <c r="Z19" i="9"/>
  <c r="I20" i="9"/>
  <c r="N19" i="9"/>
  <c r="X26" i="10"/>
  <c r="F27" i="8"/>
  <c r="S27" i="8" s="1"/>
  <c r="T27" i="8" s="1"/>
  <c r="M44" i="3"/>
  <c r="N44" i="3"/>
  <c r="L45" i="3"/>
  <c r="R33" i="3"/>
  <c r="F29" i="9"/>
  <c r="M29" i="9"/>
  <c r="Q20" i="9"/>
  <c r="N20" i="9"/>
  <c r="K20" i="9"/>
  <c r="G19" i="8"/>
  <c r="S28" i="9"/>
  <c r="M28" i="9"/>
  <c r="J31" i="9"/>
  <c r="I24" i="8"/>
  <c r="K24" i="8"/>
  <c r="Q22" i="8"/>
  <c r="J32" i="8"/>
  <c r="W19" i="9"/>
  <c r="X27" i="10"/>
  <c r="F28" i="8"/>
  <c r="S28" i="8" s="1"/>
  <c r="T28" i="8" s="1"/>
  <c r="O21" i="9"/>
  <c r="T21" i="9"/>
  <c r="O45" i="3"/>
  <c r="M45" i="3"/>
  <c r="N45" i="3"/>
  <c r="R34" i="3"/>
  <c r="F30" i="9"/>
  <c r="I21" i="9"/>
  <c r="K21" i="9"/>
  <c r="M30" i="9"/>
  <c r="J32" i="9"/>
  <c r="I25" i="8"/>
  <c r="O23" i="8"/>
  <c r="U20" i="9"/>
  <c r="Z20" i="9"/>
  <c r="Q21" i="9"/>
  <c r="O22" i="9"/>
  <c r="N21" i="9"/>
  <c r="W17" i="10"/>
  <c r="F29" i="8"/>
  <c r="M29" i="8"/>
  <c r="N29" i="8" s="1"/>
  <c r="X28" i="10"/>
  <c r="M28" i="8"/>
  <c r="N28" i="8" s="1"/>
  <c r="Q45" i="3"/>
  <c r="C42" i="9"/>
  <c r="R35" i="3"/>
  <c r="F31" i="9"/>
  <c r="W20" i="9"/>
  <c r="I22" i="9"/>
  <c r="M31" i="9"/>
  <c r="G20" i="8"/>
  <c r="Q23" i="8"/>
  <c r="K25" i="8"/>
  <c r="X29" i="10"/>
  <c r="F30" i="8"/>
  <c r="M30" i="8" s="1"/>
  <c r="N30" i="8" s="1"/>
  <c r="E42" i="9"/>
  <c r="R42" i="9"/>
  <c r="R36" i="3"/>
  <c r="F32" i="9"/>
  <c r="M32" i="9"/>
  <c r="U21" i="9"/>
  <c r="Z21" i="9"/>
  <c r="N22" i="9"/>
  <c r="K22" i="9"/>
  <c r="T22" i="9"/>
  <c r="Q22" i="9"/>
  <c r="I26" i="8"/>
  <c r="O24" i="8"/>
  <c r="X42" i="9"/>
  <c r="F31" i="8"/>
  <c r="M31" i="8" s="1"/>
  <c r="N31" i="8" s="1"/>
  <c r="X30" i="10"/>
  <c r="L42" i="9"/>
  <c r="R37" i="3"/>
  <c r="F33" i="9"/>
  <c r="W21" i="9"/>
  <c r="U22" i="9"/>
  <c r="W22" i="9"/>
  <c r="O23" i="9"/>
  <c r="T23" i="9"/>
  <c r="I23" i="9"/>
  <c r="G21" i="8"/>
  <c r="Q24" i="8"/>
  <c r="K26" i="8"/>
  <c r="Z22" i="9"/>
  <c r="G50" i="10"/>
  <c r="X31" i="10"/>
  <c r="F32" i="8"/>
  <c r="M32" i="8" s="1"/>
  <c r="N32" i="8" s="1"/>
  <c r="W49" i="9"/>
  <c r="R38" i="3"/>
  <c r="F34" i="9"/>
  <c r="W19" i="10"/>
  <c r="Q23" i="9"/>
  <c r="W45" i="9"/>
  <c r="AD23" i="10"/>
  <c r="AC45" i="11"/>
  <c r="U23" i="9"/>
  <c r="N23" i="9"/>
  <c r="K23" i="9"/>
  <c r="I27" i="8"/>
  <c r="K27" i="8"/>
  <c r="O25" i="8"/>
  <c r="O24" i="9"/>
  <c r="Q24" i="9"/>
  <c r="F33" i="8"/>
  <c r="X32" i="10"/>
  <c r="R39" i="3"/>
  <c r="F35" i="9"/>
  <c r="I24" i="9"/>
  <c r="Z23" i="9"/>
  <c r="G22" i="8"/>
  <c r="Q25" i="8"/>
  <c r="I28" i="8"/>
  <c r="T24" i="9"/>
  <c r="X33" i="10"/>
  <c r="F34" i="8"/>
  <c r="R40" i="3"/>
  <c r="F36" i="9"/>
  <c r="O25" i="9"/>
  <c r="T25" i="9"/>
  <c r="N24" i="9"/>
  <c r="K24" i="9"/>
  <c r="K28" i="8"/>
  <c r="O26" i="8"/>
  <c r="X34" i="10"/>
  <c r="F35" i="8"/>
  <c r="R41" i="3"/>
  <c r="F37" i="9"/>
  <c r="Q25" i="9"/>
  <c r="O26" i="9"/>
  <c r="Q26" i="9"/>
  <c r="O27" i="9"/>
  <c r="I25" i="9"/>
  <c r="G23" i="8"/>
  <c r="G32" i="8"/>
  <c r="I29" i="8"/>
  <c r="K29" i="8"/>
  <c r="Q26" i="8"/>
  <c r="X35" i="10"/>
  <c r="F36" i="8"/>
  <c r="R42" i="3"/>
  <c r="F38" i="9"/>
  <c r="T26" i="9"/>
  <c r="T27" i="9"/>
  <c r="Q27" i="9"/>
  <c r="Q45" i="9"/>
  <c r="N25" i="9"/>
  <c r="K25" i="9"/>
  <c r="G33" i="8"/>
  <c r="I30" i="8"/>
  <c r="K30" i="8"/>
  <c r="O27" i="8"/>
  <c r="Q49" i="9"/>
  <c r="X36" i="10"/>
  <c r="F37" i="8"/>
  <c r="R43" i="3"/>
  <c r="F39" i="9"/>
  <c r="O28" i="9"/>
  <c r="T28" i="9"/>
  <c r="I26" i="9"/>
  <c r="K26" i="9"/>
  <c r="I27" i="9"/>
  <c r="G34" i="8"/>
  <c r="G24" i="8"/>
  <c r="I31" i="8"/>
  <c r="K31" i="8"/>
  <c r="Q27" i="8"/>
  <c r="X37" i="10"/>
  <c r="F38" i="8"/>
  <c r="R44" i="3"/>
  <c r="F40" i="9"/>
  <c r="N26" i="9"/>
  <c r="N27" i="9"/>
  <c r="K27" i="9"/>
  <c r="G35" i="8"/>
  <c r="O28" i="8"/>
  <c r="I32" i="8"/>
  <c r="Q45" i="8"/>
  <c r="AC23" i="10"/>
  <c r="AB45" i="11"/>
  <c r="Q49" i="8"/>
  <c r="K49" i="8"/>
  <c r="K45" i="8"/>
  <c r="X38" i="10"/>
  <c r="F39" i="8"/>
  <c r="R45" i="3"/>
  <c r="F41" i="9"/>
  <c r="I28" i="9"/>
  <c r="G36" i="8"/>
  <c r="X39" i="10"/>
  <c r="F40" i="8"/>
  <c r="F42" i="9"/>
  <c r="S45" i="3"/>
  <c r="G42" i="9"/>
  <c r="N28" i="9"/>
  <c r="K28" i="9"/>
  <c r="G37" i="8"/>
  <c r="G25" i="8"/>
  <c r="X40" i="10"/>
  <c r="F41" i="8"/>
  <c r="I29" i="9"/>
  <c r="G26" i="8"/>
  <c r="G38" i="8"/>
  <c r="G27" i="8"/>
  <c r="G42" i="8"/>
  <c r="F42" i="8"/>
  <c r="N29" i="9"/>
  <c r="K29" i="9"/>
  <c r="I30" i="9"/>
  <c r="G39" i="8"/>
  <c r="G28" i="8"/>
  <c r="N30" i="9"/>
  <c r="K30" i="9"/>
  <c r="I31" i="9"/>
  <c r="G40" i="8"/>
  <c r="N31" i="9"/>
  <c r="K31" i="9"/>
  <c r="G29" i="8"/>
  <c r="K49" i="9"/>
  <c r="I32" i="9"/>
  <c r="K45" i="9"/>
  <c r="AB23" i="10"/>
  <c r="AA45" i="11"/>
  <c r="G30" i="8"/>
  <c r="N32" i="9"/>
  <c r="G41" i="8"/>
  <c r="G31" i="8"/>
  <c r="J17" i="3"/>
  <c r="J18" i="3"/>
  <c r="K16" i="3"/>
  <c r="I17" i="3"/>
  <c r="G17" i="3"/>
  <c r="G18" i="3"/>
  <c r="H16" i="3"/>
  <c r="F17" i="3"/>
  <c r="D17" i="3"/>
  <c r="D18" i="3"/>
  <c r="E16" i="3"/>
  <c r="D7" i="6"/>
  <c r="D39" i="6" s="1"/>
  <c r="C17" i="3"/>
  <c r="E17" i="3"/>
  <c r="K8" i="6"/>
  <c r="J19" i="3"/>
  <c r="K17" i="3"/>
  <c r="I18" i="3"/>
  <c r="G19" i="3"/>
  <c r="H17" i="3"/>
  <c r="F18" i="3"/>
  <c r="D19" i="3"/>
  <c r="K9" i="6"/>
  <c r="D8" i="6"/>
  <c r="C18" i="3"/>
  <c r="K18" i="3"/>
  <c r="I19" i="3"/>
  <c r="J20" i="3"/>
  <c r="H18" i="3"/>
  <c r="F19" i="3"/>
  <c r="G20" i="3"/>
  <c r="E18" i="3"/>
  <c r="D20" i="3"/>
  <c r="C19" i="3"/>
  <c r="K19" i="3"/>
  <c r="I20" i="3"/>
  <c r="J21" i="3"/>
  <c r="H19" i="3"/>
  <c r="F20" i="3"/>
  <c r="G21" i="3"/>
  <c r="D21" i="3"/>
  <c r="E19" i="3"/>
  <c r="C20" i="3"/>
  <c r="E20" i="3"/>
  <c r="K20" i="3"/>
  <c r="I21" i="3"/>
  <c r="J22" i="3"/>
  <c r="H20" i="3"/>
  <c r="F21" i="3"/>
  <c r="G22" i="3"/>
  <c r="D22" i="3"/>
  <c r="D9" i="6"/>
  <c r="K10" i="6"/>
  <c r="C21" i="3"/>
  <c r="E21" i="3"/>
  <c r="K21" i="3"/>
  <c r="I22" i="3"/>
  <c r="J23" i="3"/>
  <c r="H21" i="3"/>
  <c r="F22" i="3"/>
  <c r="G23" i="3"/>
  <c r="D23" i="3"/>
  <c r="C22" i="3"/>
  <c r="E22" i="3"/>
  <c r="K22" i="3"/>
  <c r="I23" i="3"/>
  <c r="J24" i="3"/>
  <c r="H22" i="3"/>
  <c r="F23" i="3"/>
  <c r="G24" i="3"/>
  <c r="D24" i="3"/>
  <c r="D10" i="6"/>
  <c r="C23" i="3"/>
  <c r="K11" i="6"/>
  <c r="K23" i="3"/>
  <c r="I24" i="3"/>
  <c r="J25" i="3"/>
  <c r="H23" i="3"/>
  <c r="F24" i="3"/>
  <c r="G25" i="3"/>
  <c r="D25" i="3"/>
  <c r="E23" i="3"/>
  <c r="C24" i="3"/>
  <c r="E24" i="3"/>
  <c r="J26" i="3"/>
  <c r="K24" i="3"/>
  <c r="I25" i="3"/>
  <c r="H24" i="3"/>
  <c r="F25" i="3"/>
  <c r="G26" i="3"/>
  <c r="D26" i="3"/>
  <c r="D11" i="6"/>
  <c r="C25" i="3"/>
  <c r="K12" i="6"/>
  <c r="K25" i="3"/>
  <c r="I26" i="3"/>
  <c r="J27" i="3"/>
  <c r="H25" i="3"/>
  <c r="F26" i="3"/>
  <c r="G27" i="3"/>
  <c r="D27" i="3"/>
  <c r="E25" i="3"/>
  <c r="C26" i="3"/>
  <c r="K26" i="3"/>
  <c r="I27" i="3"/>
  <c r="J28" i="3"/>
  <c r="H26" i="3"/>
  <c r="F27" i="3"/>
  <c r="G28" i="3"/>
  <c r="D28" i="3"/>
  <c r="E26" i="3"/>
  <c r="C27" i="3"/>
  <c r="E27" i="3"/>
  <c r="K13" i="6"/>
  <c r="D12" i="6"/>
  <c r="K27" i="3"/>
  <c r="I28" i="3"/>
  <c r="J29" i="3"/>
  <c r="H27" i="3"/>
  <c r="F28" i="3"/>
  <c r="G29" i="3"/>
  <c r="D29" i="3"/>
  <c r="C28" i="3"/>
  <c r="E28" i="3"/>
  <c r="K28" i="3"/>
  <c r="I29" i="3"/>
  <c r="J30" i="3"/>
  <c r="H28" i="3"/>
  <c r="F29" i="3"/>
  <c r="G30" i="3"/>
  <c r="D30" i="3"/>
  <c r="K14" i="6"/>
  <c r="D13" i="6"/>
  <c r="C29" i="3"/>
  <c r="K29" i="3"/>
  <c r="I30" i="3"/>
  <c r="J31" i="3"/>
  <c r="H29" i="3"/>
  <c r="F30" i="3"/>
  <c r="G31" i="3"/>
  <c r="E29" i="3"/>
  <c r="D31" i="3"/>
  <c r="C30" i="3"/>
  <c r="E30" i="3"/>
  <c r="K30" i="3"/>
  <c r="I31" i="3"/>
  <c r="J32" i="3"/>
  <c r="H30" i="3"/>
  <c r="F31" i="3"/>
  <c r="G32" i="3"/>
  <c r="D32" i="3"/>
  <c r="K15" i="6"/>
  <c r="D14" i="6"/>
  <c r="C31" i="3"/>
  <c r="E31" i="3"/>
  <c r="K31" i="3"/>
  <c r="I32" i="3"/>
  <c r="J33" i="3"/>
  <c r="H31" i="3"/>
  <c r="F32" i="3"/>
  <c r="G33" i="3"/>
  <c r="D33" i="3"/>
  <c r="C32" i="3"/>
  <c r="E32" i="3"/>
  <c r="K32" i="3"/>
  <c r="I33" i="3"/>
  <c r="J34" i="3"/>
  <c r="H32" i="3"/>
  <c r="F33" i="3"/>
  <c r="G34" i="3"/>
  <c r="D34" i="3"/>
  <c r="K16" i="6"/>
  <c r="D15" i="6"/>
  <c r="C33" i="3"/>
  <c r="K33" i="3"/>
  <c r="I34" i="3"/>
  <c r="J35" i="3"/>
  <c r="H33" i="3"/>
  <c r="F34" i="3"/>
  <c r="G35" i="3"/>
  <c r="E33" i="3"/>
  <c r="D35" i="3"/>
  <c r="C34" i="3"/>
  <c r="E34" i="3"/>
  <c r="K34" i="3"/>
  <c r="I35" i="3"/>
  <c r="J36" i="3"/>
  <c r="H34" i="3"/>
  <c r="F35" i="3"/>
  <c r="G36" i="3"/>
  <c r="D36" i="3"/>
  <c r="K17" i="6"/>
  <c r="D16" i="6"/>
  <c r="C35" i="3"/>
  <c r="E35" i="3"/>
  <c r="K35" i="3"/>
  <c r="I36" i="3"/>
  <c r="J37" i="3"/>
  <c r="H35" i="3"/>
  <c r="F36" i="3"/>
  <c r="G37" i="3"/>
  <c r="D37" i="3"/>
  <c r="C36" i="3"/>
  <c r="O36" i="3"/>
  <c r="C33" i="9"/>
  <c r="Q35" i="3"/>
  <c r="K36" i="3"/>
  <c r="I37" i="3"/>
  <c r="J38" i="3"/>
  <c r="H36" i="3"/>
  <c r="F37" i="3"/>
  <c r="G38" i="3"/>
  <c r="D38" i="3"/>
  <c r="E36" i="3"/>
  <c r="Q36" i="3"/>
  <c r="E33" i="9"/>
  <c r="E32" i="9"/>
  <c r="S36" i="3"/>
  <c r="G33" i="9"/>
  <c r="K18" i="6"/>
  <c r="D17" i="6"/>
  <c r="C37" i="3"/>
  <c r="O37" i="3"/>
  <c r="C34" i="9"/>
  <c r="K37" i="3"/>
  <c r="I38" i="3"/>
  <c r="J39" i="3"/>
  <c r="H37" i="3"/>
  <c r="F38" i="3"/>
  <c r="G39" i="3"/>
  <c r="D39" i="3"/>
  <c r="E37" i="3"/>
  <c r="C38" i="3"/>
  <c r="L33" i="9"/>
  <c r="X33" i="9"/>
  <c r="R33" i="9"/>
  <c r="R32" i="9"/>
  <c r="L32" i="9"/>
  <c r="X32" i="9"/>
  <c r="S37" i="3"/>
  <c r="G34" i="9"/>
  <c r="K38" i="3"/>
  <c r="I39" i="3"/>
  <c r="J40" i="3"/>
  <c r="H38" i="3"/>
  <c r="F39" i="3"/>
  <c r="G40" i="3"/>
  <c r="O38" i="3"/>
  <c r="C35" i="9"/>
  <c r="E38" i="3"/>
  <c r="Q37" i="3"/>
  <c r="E34" i="9"/>
  <c r="L34" i="9"/>
  <c r="K19" i="6"/>
  <c r="D18" i="6"/>
  <c r="C39" i="3"/>
  <c r="O39" i="3"/>
  <c r="C36" i="9"/>
  <c r="Q38" i="3"/>
  <c r="E35" i="9"/>
  <c r="K39" i="3"/>
  <c r="I40" i="3"/>
  <c r="J41" i="3"/>
  <c r="H39" i="3"/>
  <c r="F40" i="3"/>
  <c r="G41" i="3"/>
  <c r="X34" i="9"/>
  <c r="S38" i="3"/>
  <c r="G35" i="9"/>
  <c r="R34" i="9"/>
  <c r="E39" i="3"/>
  <c r="O40" i="3"/>
  <c r="C37" i="9"/>
  <c r="X35" i="9"/>
  <c r="L35" i="9"/>
  <c r="R35" i="9"/>
  <c r="S39" i="3"/>
  <c r="G36" i="9"/>
  <c r="Q39" i="3"/>
  <c r="K40" i="3"/>
  <c r="I41" i="3"/>
  <c r="J42" i="3"/>
  <c r="H40" i="3"/>
  <c r="G42" i="3"/>
  <c r="S40" i="3"/>
  <c r="G37" i="9"/>
  <c r="E36" i="9"/>
  <c r="K20" i="6"/>
  <c r="D19" i="6"/>
  <c r="F41" i="3"/>
  <c r="O41" i="3"/>
  <c r="C38" i="9"/>
  <c r="Q40" i="3"/>
  <c r="E37" i="9"/>
  <c r="K41" i="3"/>
  <c r="I42" i="3"/>
  <c r="J43" i="3"/>
  <c r="H41" i="3"/>
  <c r="G43" i="3"/>
  <c r="X37" i="9"/>
  <c r="L37" i="9"/>
  <c r="R37" i="9"/>
  <c r="X36" i="9"/>
  <c r="L36" i="9"/>
  <c r="R36" i="9"/>
  <c r="S41" i="3"/>
  <c r="G38" i="9"/>
  <c r="F42" i="3"/>
  <c r="O42" i="3"/>
  <c r="C39" i="9"/>
  <c r="Q41" i="3"/>
  <c r="E38" i="9"/>
  <c r="K42" i="3"/>
  <c r="I43" i="3"/>
  <c r="J44" i="3"/>
  <c r="H42" i="3"/>
  <c r="G44" i="3"/>
  <c r="X38" i="9"/>
  <c r="R38" i="9"/>
  <c r="L38" i="9"/>
  <c r="S42" i="3"/>
  <c r="G39" i="9"/>
  <c r="K21" i="6"/>
  <c r="D20" i="6"/>
  <c r="F43" i="3"/>
  <c r="O43" i="3"/>
  <c r="C40" i="9"/>
  <c r="Q42" i="3"/>
  <c r="E39" i="9"/>
  <c r="K43" i="3"/>
  <c r="I44" i="3"/>
  <c r="X39" i="9"/>
  <c r="L39" i="9"/>
  <c r="R39" i="9"/>
  <c r="S43" i="3"/>
  <c r="G40" i="9"/>
  <c r="H43" i="3"/>
  <c r="F44" i="3"/>
  <c r="O44" i="3"/>
  <c r="C41" i="9"/>
  <c r="K44" i="3"/>
  <c r="Q43" i="3"/>
  <c r="S44" i="3"/>
  <c r="G41" i="9"/>
  <c r="H44" i="3"/>
  <c r="Q44" i="3"/>
  <c r="E41" i="9"/>
  <c r="K22" i="6"/>
  <c r="D21" i="6"/>
  <c r="R41" i="9"/>
  <c r="X41" i="9"/>
  <c r="L41" i="9"/>
  <c r="E40" i="9"/>
  <c r="R40" i="9"/>
  <c r="X40" i="9"/>
  <c r="L40" i="9"/>
  <c r="K23" i="6"/>
  <c r="D22" i="6"/>
  <c r="K24" i="6"/>
  <c r="D23" i="6"/>
  <c r="K25" i="6"/>
  <c r="D24" i="6"/>
  <c r="K26" i="6"/>
  <c r="D25" i="6"/>
  <c r="E7" i="2"/>
  <c r="D13" i="2"/>
  <c r="C13" i="2"/>
  <c r="D12" i="2"/>
  <c r="C12" i="2"/>
  <c r="D11" i="2"/>
  <c r="C11" i="2"/>
  <c r="E41" i="1"/>
  <c r="E40" i="1"/>
  <c r="E39" i="1"/>
  <c r="E35" i="1"/>
  <c r="G17" i="1"/>
  <c r="G18" i="1"/>
  <c r="G33" i="1"/>
  <c r="G34" i="1"/>
  <c r="E19" i="1"/>
  <c r="F26" i="1"/>
  <c r="F27" i="1"/>
  <c r="F25" i="1"/>
  <c r="F11" i="1"/>
  <c r="F10" i="1"/>
  <c r="F9" i="1"/>
  <c r="F8" i="1"/>
  <c r="C15" i="2"/>
  <c r="E42" i="1"/>
  <c r="D15" i="2"/>
  <c r="G40" i="1"/>
  <c r="G41" i="1"/>
  <c r="H41" i="1"/>
  <c r="H42" i="1"/>
  <c r="E12" i="2"/>
  <c r="E13" i="2"/>
  <c r="E11" i="2"/>
  <c r="H43" i="1"/>
  <c r="F28" i="1"/>
  <c r="F12" i="1"/>
  <c r="F44" i="1"/>
  <c r="E29" i="1"/>
  <c r="E13" i="1"/>
  <c r="E44" i="1"/>
  <c r="D40" i="1"/>
  <c r="D8" i="2"/>
  <c r="F29" i="1"/>
  <c r="D29" i="1"/>
  <c r="C8" i="2"/>
  <c r="E8" i="2"/>
  <c r="E15" i="2"/>
  <c r="H44" i="1"/>
  <c r="F13" i="1"/>
  <c r="D13" i="1"/>
  <c r="O17" i="3"/>
  <c r="C14" i="9"/>
  <c r="O18" i="3"/>
  <c r="C15" i="9"/>
  <c r="Q17" i="3"/>
  <c r="O19" i="3"/>
  <c r="Q18" i="3"/>
  <c r="O21" i="3"/>
  <c r="S21" i="3"/>
  <c r="G18" i="9"/>
  <c r="O20" i="3"/>
  <c r="S20" i="3"/>
  <c r="G17" i="9"/>
  <c r="Q19" i="3"/>
  <c r="Q20" i="3"/>
  <c r="E17" i="9"/>
  <c r="O22" i="3"/>
  <c r="C19" i="9"/>
  <c r="Q22" i="3"/>
  <c r="E19" i="9"/>
  <c r="O24" i="3"/>
  <c r="Q24" i="3"/>
  <c r="E21" i="9"/>
  <c r="Q21" i="3"/>
  <c r="E18" i="9"/>
  <c r="O23" i="3"/>
  <c r="Q23" i="3"/>
  <c r="E20" i="9"/>
  <c r="O25" i="3"/>
  <c r="Q25" i="3"/>
  <c r="E22" i="9"/>
  <c r="O26" i="3"/>
  <c r="C23" i="9"/>
  <c r="O28" i="3"/>
  <c r="S28" i="3"/>
  <c r="G25" i="9"/>
  <c r="O30" i="3"/>
  <c r="C27" i="9"/>
  <c r="Q30" i="3"/>
  <c r="E27" i="9"/>
  <c r="O33" i="3"/>
  <c r="Q33" i="3"/>
  <c r="E30" i="9"/>
  <c r="O35" i="3"/>
  <c r="Q34" i="3"/>
  <c r="E31" i="9"/>
  <c r="O27" i="3"/>
  <c r="Q26" i="3"/>
  <c r="E23" i="9"/>
  <c r="Q27" i="3"/>
  <c r="E24" i="9"/>
  <c r="O29" i="3"/>
  <c r="Q28" i="3"/>
  <c r="E25" i="9"/>
  <c r="Q29" i="3"/>
  <c r="E26" i="9"/>
  <c r="O31" i="3"/>
  <c r="Q31" i="3"/>
  <c r="E28" i="9"/>
  <c r="O32" i="3"/>
  <c r="Q32" i="3"/>
  <c r="E29" i="9"/>
  <c r="O34" i="3"/>
  <c r="Q16" i="3"/>
  <c r="L31" i="9"/>
  <c r="R31" i="9"/>
  <c r="X31" i="9"/>
  <c r="R28" i="9"/>
  <c r="X28" i="9"/>
  <c r="L28" i="9"/>
  <c r="E13" i="9"/>
  <c r="C31" i="9"/>
  <c r="S34" i="3"/>
  <c r="G31" i="9"/>
  <c r="C29" i="9"/>
  <c r="S32" i="3"/>
  <c r="G29" i="9"/>
  <c r="C28" i="9"/>
  <c r="S31" i="3"/>
  <c r="G28" i="9"/>
  <c r="R25" i="9"/>
  <c r="X25" i="9"/>
  <c r="L25" i="9"/>
  <c r="R24" i="9"/>
  <c r="L24" i="9"/>
  <c r="X24" i="9"/>
  <c r="S27" i="3"/>
  <c r="G24" i="9"/>
  <c r="C24" i="9"/>
  <c r="C32" i="9"/>
  <c r="S35" i="3"/>
  <c r="G32" i="9"/>
  <c r="R27" i="9"/>
  <c r="X27" i="9"/>
  <c r="L27" i="9"/>
  <c r="R18" i="9"/>
  <c r="X18" i="9"/>
  <c r="L18" i="9"/>
  <c r="Q47" i="3"/>
  <c r="R29" i="9"/>
  <c r="L29" i="9"/>
  <c r="X29" i="9"/>
  <c r="R26" i="9"/>
  <c r="L26" i="9"/>
  <c r="X26" i="9"/>
  <c r="C26" i="9"/>
  <c r="S29" i="3"/>
  <c r="G26" i="9"/>
  <c r="R23" i="9"/>
  <c r="X23" i="9"/>
  <c r="L23" i="9"/>
  <c r="X30" i="9"/>
  <c r="R30" i="9"/>
  <c r="L30" i="9"/>
  <c r="C30" i="9"/>
  <c r="S33" i="3"/>
  <c r="G30" i="9"/>
  <c r="L22" i="9"/>
  <c r="X22" i="9"/>
  <c r="R22" i="9"/>
  <c r="S30" i="3"/>
  <c r="G27" i="9"/>
  <c r="C25" i="9"/>
  <c r="S26" i="3"/>
  <c r="G23" i="9"/>
  <c r="C21" i="9"/>
  <c r="S24" i="3"/>
  <c r="G21" i="9"/>
  <c r="L19" i="9"/>
  <c r="X19" i="9"/>
  <c r="R19" i="9"/>
  <c r="C22" i="9"/>
  <c r="S25" i="3"/>
  <c r="G22" i="9"/>
  <c r="L20" i="9"/>
  <c r="X20" i="9"/>
  <c r="R20" i="9"/>
  <c r="S23" i="3"/>
  <c r="G20" i="9"/>
  <c r="C20" i="9"/>
  <c r="R21" i="9"/>
  <c r="X21" i="9"/>
  <c r="L21" i="9"/>
  <c r="L17" i="9"/>
  <c r="R17" i="9"/>
  <c r="X17" i="9"/>
  <c r="S22" i="3"/>
  <c r="G19" i="9"/>
  <c r="C18" i="9"/>
  <c r="E16" i="9"/>
  <c r="S19" i="3"/>
  <c r="G16" i="9"/>
  <c r="E14" i="9"/>
  <c r="C17" i="9"/>
  <c r="S18" i="3"/>
  <c r="G15" i="9"/>
  <c r="S17" i="3"/>
  <c r="G14" i="9"/>
  <c r="E15" i="9"/>
  <c r="C16" i="9"/>
  <c r="L14" i="9"/>
  <c r="R14" i="9"/>
  <c r="X14" i="9"/>
  <c r="X16" i="9"/>
  <c r="R16" i="9"/>
  <c r="L16" i="9"/>
  <c r="R13" i="9"/>
  <c r="L13" i="9"/>
  <c r="X13" i="9"/>
  <c r="E50" i="9"/>
  <c r="E46" i="9"/>
  <c r="R15" i="9"/>
  <c r="L15" i="9"/>
  <c r="X15" i="9"/>
  <c r="W46" i="9"/>
  <c r="W47" i="9"/>
  <c r="Q46" i="9"/>
  <c r="Q47" i="9"/>
  <c r="K46" i="9"/>
  <c r="K47" i="9"/>
  <c r="X45" i="9"/>
  <c r="X51" i="9"/>
  <c r="W50" i="9"/>
  <c r="W51" i="9"/>
  <c r="K50" i="9"/>
  <c r="K51" i="9"/>
  <c r="Q50" i="9"/>
  <c r="Q51" i="9"/>
  <c r="L45" i="9"/>
  <c r="L51" i="9"/>
  <c r="R45" i="9"/>
  <c r="R51" i="9"/>
  <c r="I15" i="20" l="1"/>
  <c r="I20" i="20" s="1"/>
  <c r="R20" i="20" s="1"/>
  <c r="I15" i="18"/>
  <c r="I24" i="18" s="1"/>
  <c r="R24" i="18" s="1"/>
  <c r="O42" i="20"/>
  <c r="R38" i="20"/>
  <c r="O36" i="20"/>
  <c r="R36" i="20" s="1"/>
  <c r="O24" i="20"/>
  <c r="M25" i="20" s="1"/>
  <c r="M26" i="20" s="1"/>
  <c r="M27" i="20" s="1"/>
  <c r="M28" i="20" s="1"/>
  <c r="M29" i="20" s="1"/>
  <c r="M30" i="20" s="1"/>
  <c r="M31" i="20" s="1"/>
  <c r="M32" i="20" s="1"/>
  <c r="M33" i="20" s="1"/>
  <c r="M34" i="20" s="1"/>
  <c r="M35" i="20" s="1"/>
  <c r="M36" i="20" s="1"/>
  <c r="M37" i="20" s="1"/>
  <c r="M38" i="20" s="1"/>
  <c r="M39" i="20" s="1"/>
  <c r="M40" i="20" s="1"/>
  <c r="M41" i="20" s="1"/>
  <c r="M42" i="20" s="1"/>
  <c r="M43" i="20" s="1"/>
  <c r="M44" i="20" s="1"/>
  <c r="M45" i="20" s="1"/>
  <c r="M46" i="20" s="1"/>
  <c r="O33" i="20"/>
  <c r="O31" i="20"/>
  <c r="O41" i="20"/>
  <c r="O30" i="20"/>
  <c r="O44" i="20"/>
  <c r="R44" i="20" s="1"/>
  <c r="R42" i="20"/>
  <c r="R34" i="20"/>
  <c r="L43" i="20"/>
  <c r="R43" i="20" s="1"/>
  <c r="L41" i="20"/>
  <c r="R41" i="20" s="1"/>
  <c r="L39" i="20"/>
  <c r="R39" i="20" s="1"/>
  <c r="L37" i="20"/>
  <c r="R37" i="20" s="1"/>
  <c r="L35" i="20"/>
  <c r="R35" i="20" s="1"/>
  <c r="L33" i="20"/>
  <c r="R33" i="20" s="1"/>
  <c r="L31" i="20"/>
  <c r="L29" i="20"/>
  <c r="L27" i="20"/>
  <c r="L25" i="20"/>
  <c r="L23" i="20"/>
  <c r="L21" i="20"/>
  <c r="L19" i="20"/>
  <c r="L17" i="20"/>
  <c r="J18" i="20" s="1"/>
  <c r="J19" i="20" s="1"/>
  <c r="J20" i="20" s="1"/>
  <c r="J21" i="20" s="1"/>
  <c r="J22" i="20" s="1"/>
  <c r="J23" i="20" s="1"/>
  <c r="J24" i="20" s="1"/>
  <c r="J25" i="20" s="1"/>
  <c r="J26" i="20" s="1"/>
  <c r="J27" i="20" s="1"/>
  <c r="J28" i="20" s="1"/>
  <c r="J29" i="20" s="1"/>
  <c r="J30" i="20" s="1"/>
  <c r="J31" i="20" s="1"/>
  <c r="J32" i="20" s="1"/>
  <c r="J33" i="20" s="1"/>
  <c r="I27" i="20"/>
  <c r="R27" i="20" s="1"/>
  <c r="I28" i="20"/>
  <c r="R28" i="20" s="1"/>
  <c r="I29" i="20"/>
  <c r="R29" i="20" s="1"/>
  <c r="I30" i="20"/>
  <c r="R30" i="20" s="1"/>
  <c r="I25" i="20"/>
  <c r="R25" i="20" s="1"/>
  <c r="I26" i="20"/>
  <c r="R26" i="20" s="1"/>
  <c r="I17" i="20"/>
  <c r="R17" i="20" s="1"/>
  <c r="I31" i="20"/>
  <c r="G16" i="20"/>
  <c r="I16" i="20"/>
  <c r="R16" i="20" s="1"/>
  <c r="O45" i="18"/>
  <c r="R45" i="18" s="1"/>
  <c r="O30" i="18"/>
  <c r="O38" i="18"/>
  <c r="R38" i="18" s="1"/>
  <c r="O29" i="18"/>
  <c r="O41" i="18"/>
  <c r="O20" i="18"/>
  <c r="O23" i="18"/>
  <c r="O39" i="18"/>
  <c r="O40" i="18"/>
  <c r="R40" i="18" s="1"/>
  <c r="O32" i="18"/>
  <c r="O42" i="18"/>
  <c r="R42" i="18" s="1"/>
  <c r="O31" i="18"/>
  <c r="O43" i="18"/>
  <c r="O22" i="18"/>
  <c r="O37" i="18"/>
  <c r="O17" i="18"/>
  <c r="O44" i="18"/>
  <c r="R44" i="18" s="1"/>
  <c r="O36" i="18"/>
  <c r="R36" i="18" s="1"/>
  <c r="O28" i="18"/>
  <c r="O27" i="18"/>
  <c r="O33" i="18"/>
  <c r="O18" i="18"/>
  <c r="O21" i="18"/>
  <c r="O26" i="18"/>
  <c r="O34" i="18"/>
  <c r="R34" i="18" s="1"/>
  <c r="O25" i="18"/>
  <c r="O24" i="18"/>
  <c r="O35" i="18"/>
  <c r="O19" i="18"/>
  <c r="M17" i="18"/>
  <c r="L43" i="18"/>
  <c r="R43" i="18" s="1"/>
  <c r="L41" i="18"/>
  <c r="R41" i="18" s="1"/>
  <c r="L39" i="18"/>
  <c r="L37" i="18"/>
  <c r="R37" i="18" s="1"/>
  <c r="L35" i="18"/>
  <c r="L33" i="18"/>
  <c r="R33" i="18" s="1"/>
  <c r="L31" i="18"/>
  <c r="L29" i="18"/>
  <c r="L27" i="18"/>
  <c r="L25" i="18"/>
  <c r="L23" i="18"/>
  <c r="L21" i="18"/>
  <c r="L19" i="18"/>
  <c r="J20" i="18" s="1"/>
  <c r="J21" i="18" s="1"/>
  <c r="J22" i="18" s="1"/>
  <c r="J23" i="18" s="1"/>
  <c r="J24" i="18" s="1"/>
  <c r="J25" i="18" s="1"/>
  <c r="J26" i="18" s="1"/>
  <c r="J27" i="18" s="1"/>
  <c r="J28" i="18" s="1"/>
  <c r="J29" i="18" s="1"/>
  <c r="J30" i="18" s="1"/>
  <c r="J31" i="18" s="1"/>
  <c r="J32" i="18" s="1"/>
  <c r="J33" i="18" s="1"/>
  <c r="I16" i="18"/>
  <c r="R16" i="18" s="1"/>
  <c r="I20" i="18"/>
  <c r="R20" i="18" s="1"/>
  <c r="I28" i="18"/>
  <c r="R28" i="18" s="1"/>
  <c r="I32" i="18"/>
  <c r="R32" i="18" s="1"/>
  <c r="I21" i="18"/>
  <c r="R21" i="18" s="1"/>
  <c r="I19" i="18"/>
  <c r="R19" i="18" s="1"/>
  <c r="I23" i="18"/>
  <c r="I27" i="18"/>
  <c r="I31" i="18"/>
  <c r="I25" i="18"/>
  <c r="G16" i="18"/>
  <c r="I18" i="18"/>
  <c r="R18" i="18" s="1"/>
  <c r="I22" i="18"/>
  <c r="R22" i="18" s="1"/>
  <c r="I26" i="18"/>
  <c r="I30" i="18"/>
  <c r="R30" i="18" s="1"/>
  <c r="I17" i="18"/>
  <c r="D38" i="6"/>
  <c r="M21" i="8"/>
  <c r="N21" i="8" s="1"/>
  <c r="S16" i="8"/>
  <c r="T16" i="8" s="1"/>
  <c r="I15" i="27"/>
  <c r="F16" i="26"/>
  <c r="D17" i="26" s="1"/>
  <c r="F17" i="26" s="1"/>
  <c r="D18" i="26" s="1"/>
  <c r="AA16" i="22"/>
  <c r="Y17" i="22" s="1"/>
  <c r="AB17" i="22"/>
  <c r="I38" i="26"/>
  <c r="L41" i="26"/>
  <c r="L42" i="26"/>
  <c r="L31" i="26"/>
  <c r="L36" i="26"/>
  <c r="L28" i="26"/>
  <c r="L24" i="26"/>
  <c r="L20" i="26"/>
  <c r="J17" i="26"/>
  <c r="L43" i="26"/>
  <c r="L35" i="26"/>
  <c r="L32" i="26"/>
  <c r="L44" i="26"/>
  <c r="L33" i="26"/>
  <c r="L25" i="26"/>
  <c r="L21" i="26"/>
  <c r="L17" i="26"/>
  <c r="L39" i="26"/>
  <c r="L38" i="26"/>
  <c r="L30" i="26"/>
  <c r="L45" i="26"/>
  <c r="R45" i="26" s="1"/>
  <c r="D39" i="10" s="1"/>
  <c r="L27" i="26"/>
  <c r="L23" i="26"/>
  <c r="L19" i="26"/>
  <c r="L37" i="26"/>
  <c r="L34" i="26"/>
  <c r="L29" i="26"/>
  <c r="L40" i="26"/>
  <c r="L26" i="26"/>
  <c r="L22" i="26"/>
  <c r="L18" i="26"/>
  <c r="R38" i="26"/>
  <c r="D32" i="10" s="1"/>
  <c r="G16" i="26"/>
  <c r="I36" i="26"/>
  <c r="I41" i="26"/>
  <c r="R41" i="26" s="1"/>
  <c r="D35" i="10" s="1"/>
  <c r="I26" i="26"/>
  <c r="I21" i="26"/>
  <c r="I32" i="26"/>
  <c r="I16" i="26"/>
  <c r="I18" i="26"/>
  <c r="I44" i="26"/>
  <c r="I43" i="26"/>
  <c r="R43" i="26" s="1"/>
  <c r="D37" i="10" s="1"/>
  <c r="I30" i="26"/>
  <c r="I25" i="26"/>
  <c r="I20" i="26"/>
  <c r="I39" i="26"/>
  <c r="R39" i="26" s="1"/>
  <c r="D33" i="10" s="1"/>
  <c r="I42" i="26"/>
  <c r="R42" i="26" s="1"/>
  <c r="D36" i="10" s="1"/>
  <c r="I35" i="26"/>
  <c r="R35" i="26" s="1"/>
  <c r="D29" i="10" s="1"/>
  <c r="I29" i="26"/>
  <c r="I24" i="26"/>
  <c r="I34" i="26"/>
  <c r="R34" i="26" s="1"/>
  <c r="D28" i="10" s="1"/>
  <c r="I37" i="26"/>
  <c r="I23" i="26"/>
  <c r="I40" i="26"/>
  <c r="R40" i="26" s="1"/>
  <c r="D34" i="10" s="1"/>
  <c r="I19" i="26"/>
  <c r="I22" i="26"/>
  <c r="I28" i="26"/>
  <c r="I33" i="26"/>
  <c r="R33" i="26" s="1"/>
  <c r="D27" i="10" s="1"/>
  <c r="I17" i="26"/>
  <c r="I17" i="34"/>
  <c r="AD17" i="34" s="1"/>
  <c r="AB17" i="34"/>
  <c r="I15" i="36"/>
  <c r="G16" i="36" s="1"/>
  <c r="AB16" i="36" s="1"/>
  <c r="AF16" i="36" s="1"/>
  <c r="AH16" i="36" s="1"/>
  <c r="AF17" i="36" s="1"/>
  <c r="I16" i="35"/>
  <c r="G17" i="35" s="1"/>
  <c r="G16" i="29"/>
  <c r="X16" i="29" s="1"/>
  <c r="AB16" i="35"/>
  <c r="AF16" i="35" s="1"/>
  <c r="H19" i="35"/>
  <c r="I15" i="29"/>
  <c r="H18" i="17"/>
  <c r="Y16" i="17"/>
  <c r="I16" i="17"/>
  <c r="F17" i="5"/>
  <c r="D18" i="5" s="1"/>
  <c r="Z20" i="5"/>
  <c r="D16" i="9"/>
  <c r="D16" i="8"/>
  <c r="J17" i="27"/>
  <c r="J18" i="5"/>
  <c r="Q8" i="5"/>
  <c r="R17" i="5"/>
  <c r="E20" i="5"/>
  <c r="M17" i="5"/>
  <c r="M16" i="27"/>
  <c r="S26" i="8"/>
  <c r="T26" i="8" s="1"/>
  <c r="S25" i="8"/>
  <c r="T25" i="8" s="1"/>
  <c r="S23" i="8"/>
  <c r="T23" i="8" s="1"/>
  <c r="Y19" i="8"/>
  <c r="Z19" i="8" s="1"/>
  <c r="Y15" i="8"/>
  <c r="Z15" i="8" s="1"/>
  <c r="K18" i="5"/>
  <c r="L17" i="5"/>
  <c r="W8" i="5"/>
  <c r="X19" i="5"/>
  <c r="V20" i="5" s="1"/>
  <c r="V21" i="5" s="1"/>
  <c r="V22" i="5" s="1"/>
  <c r="S16" i="27"/>
  <c r="S17" i="5"/>
  <c r="S17" i="27" s="1"/>
  <c r="U17" i="27" s="1"/>
  <c r="U18" i="27" s="1"/>
  <c r="Y22" i="8"/>
  <c r="Z22" i="8" s="1"/>
  <c r="M17" i="8"/>
  <c r="N17" i="8" s="1"/>
  <c r="C30" i="5"/>
  <c r="B31" i="5"/>
  <c r="W10" i="10"/>
  <c r="X20" i="5"/>
  <c r="I15" i="5"/>
  <c r="G16" i="5" s="1"/>
  <c r="Y16" i="5" s="1"/>
  <c r="N22" i="27"/>
  <c r="N23" i="27" s="1"/>
  <c r="N24" i="27" s="1"/>
  <c r="Y23" i="8"/>
  <c r="Z23" i="8" s="1"/>
  <c r="M22" i="8"/>
  <c r="N22" i="8" s="1"/>
  <c r="W12" i="10"/>
  <c r="W11" i="10"/>
  <c r="M27" i="8"/>
  <c r="N27" i="8" s="1"/>
  <c r="I24" i="27"/>
  <c r="L43" i="27"/>
  <c r="Y12" i="8"/>
  <c r="Z12" i="8" s="1"/>
  <c r="W20" i="10"/>
  <c r="W18" i="10"/>
  <c r="W14" i="10"/>
  <c r="I22" i="27"/>
  <c r="H8" i="5"/>
  <c r="I29" i="5"/>
  <c r="I21" i="5"/>
  <c r="I17" i="5"/>
  <c r="I28" i="5"/>
  <c r="I24" i="5"/>
  <c r="I20" i="5"/>
  <c r="I16" i="5"/>
  <c r="AA16" i="5" s="1"/>
  <c r="I30" i="5"/>
  <c r="I26" i="5"/>
  <c r="I22" i="5"/>
  <c r="I18" i="5"/>
  <c r="I31" i="5"/>
  <c r="I27" i="5"/>
  <c r="I23" i="5"/>
  <c r="I19" i="5"/>
  <c r="O17" i="19"/>
  <c r="O20" i="19" s="1"/>
  <c r="L19" i="19"/>
  <c r="L18" i="19"/>
  <c r="L17" i="19"/>
  <c r="J18" i="19" s="1"/>
  <c r="I16" i="19"/>
  <c r="X19" i="19"/>
  <c r="X22" i="19" s="1"/>
  <c r="M18" i="19"/>
  <c r="O19" i="19"/>
  <c r="N8" i="19"/>
  <c r="S19" i="19"/>
  <c r="U19" i="19"/>
  <c r="P19" i="19"/>
  <c r="P20" i="19" s="1"/>
  <c r="R20" i="19"/>
  <c r="O18" i="19"/>
  <c r="M19" i="19" s="1"/>
  <c r="W23" i="5"/>
  <c r="X22" i="5"/>
  <c r="X21" i="5"/>
  <c r="U20" i="5"/>
  <c r="T21" i="5"/>
  <c r="T22" i="5" s="1"/>
  <c r="T23" i="5" s="1"/>
  <c r="U22" i="5"/>
  <c r="S19" i="5"/>
  <c r="U19" i="5"/>
  <c r="Q30" i="5"/>
  <c r="Q31" i="5" s="1"/>
  <c r="Q32" i="5" s="1"/>
  <c r="Q33" i="5" s="1"/>
  <c r="Q34" i="5" s="1"/>
  <c r="Q35" i="5" s="1"/>
  <c r="R29" i="5"/>
  <c r="R34" i="5"/>
  <c r="R18" i="5"/>
  <c r="R31" i="5"/>
  <c r="R28" i="5"/>
  <c r="R25" i="5"/>
  <c r="R30" i="5"/>
  <c r="R27" i="5"/>
  <c r="R24" i="5"/>
  <c r="R21" i="5"/>
  <c r="P18" i="5"/>
  <c r="R26" i="5"/>
  <c r="R23" i="5"/>
  <c r="R20" i="5"/>
  <c r="R33" i="5"/>
  <c r="R22" i="5"/>
  <c r="R32" i="5"/>
  <c r="R19" i="5"/>
  <c r="X21" i="27"/>
  <c r="X36" i="27"/>
  <c r="X32" i="27"/>
  <c r="X20" i="27"/>
  <c r="X34" i="27"/>
  <c r="X28" i="27"/>
  <c r="X33" i="27"/>
  <c r="X27" i="27"/>
  <c r="X25" i="27"/>
  <c r="X18" i="27"/>
  <c r="X29" i="27"/>
  <c r="X26" i="27"/>
  <c r="X22" i="27"/>
  <c r="X31" i="27"/>
  <c r="X35" i="27"/>
  <c r="X30" i="27"/>
  <c r="X24" i="27"/>
  <c r="X23" i="27"/>
  <c r="X19" i="27"/>
  <c r="R18" i="27"/>
  <c r="R21" i="27"/>
  <c r="R30" i="27"/>
  <c r="R36" i="27"/>
  <c r="R22" i="27"/>
  <c r="R25" i="27"/>
  <c r="U22" i="27"/>
  <c r="U26" i="27"/>
  <c r="U28" i="27"/>
  <c r="U34" i="27"/>
  <c r="U20" i="27"/>
  <c r="U27" i="27"/>
  <c r="U25" i="27"/>
  <c r="U36" i="27"/>
  <c r="U33" i="27"/>
  <c r="U24" i="27"/>
  <c r="U23" i="27"/>
  <c r="U32" i="27"/>
  <c r="U31" i="27"/>
  <c r="U35" i="27"/>
  <c r="U19" i="27"/>
  <c r="U21" i="27"/>
  <c r="U30" i="27"/>
  <c r="U29" i="27"/>
  <c r="R27" i="27"/>
  <c r="R20" i="27"/>
  <c r="R28" i="27"/>
  <c r="R23" i="27"/>
  <c r="R24" i="27"/>
  <c r="R19" i="27"/>
  <c r="R32" i="27"/>
  <c r="R34" i="27"/>
  <c r="R33" i="27"/>
  <c r="R29" i="27"/>
  <c r="R31" i="27"/>
  <c r="R26" i="27"/>
  <c r="R35" i="27"/>
  <c r="L18" i="27"/>
  <c r="L22" i="27"/>
  <c r="L25" i="27"/>
  <c r="L29" i="27"/>
  <c r="L34" i="27"/>
  <c r="L40" i="27"/>
  <c r="L37" i="27"/>
  <c r="L45" i="27"/>
  <c r="L19" i="27"/>
  <c r="L23" i="27"/>
  <c r="L26" i="27"/>
  <c r="L30" i="27"/>
  <c r="L33" i="27"/>
  <c r="L42" i="27"/>
  <c r="L39" i="27"/>
  <c r="L20" i="27"/>
  <c r="L24" i="27"/>
  <c r="L27" i="27"/>
  <c r="L31" i="27"/>
  <c r="L36" i="27"/>
  <c r="L44" i="27"/>
  <c r="L41" i="27"/>
  <c r="L21" i="27"/>
  <c r="L17" i="27"/>
  <c r="L28" i="27"/>
  <c r="L32" i="27"/>
  <c r="L38" i="27"/>
  <c r="L35" i="27"/>
  <c r="I30" i="27"/>
  <c r="I17" i="27"/>
  <c r="I18" i="27"/>
  <c r="I16" i="27"/>
  <c r="AA16" i="27" s="1"/>
  <c r="D5" i="40" s="1"/>
  <c r="V5" i="40" s="1"/>
  <c r="I29" i="27"/>
  <c r="I39" i="27"/>
  <c r="I36" i="27"/>
  <c r="I21" i="27"/>
  <c r="I43" i="27"/>
  <c r="I40" i="27"/>
  <c r="I44" i="27"/>
  <c r="I26" i="27"/>
  <c r="I34" i="27"/>
  <c r="I32" i="27"/>
  <c r="I31" i="27"/>
  <c r="I33" i="27"/>
  <c r="I42" i="27"/>
  <c r="I38" i="27"/>
  <c r="I23" i="27"/>
  <c r="I28" i="27"/>
  <c r="I27" i="27"/>
  <c r="I25" i="27"/>
  <c r="I20" i="27"/>
  <c r="I41" i="27"/>
  <c r="C16" i="28"/>
  <c r="B17" i="28"/>
  <c r="L17" i="28"/>
  <c r="C15" i="28"/>
  <c r="A19" i="28"/>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L19" i="28"/>
  <c r="L18" i="28"/>
  <c r="O19" i="28"/>
  <c r="AD22" i="28"/>
  <c r="AR21" i="29"/>
  <c r="V20" i="29"/>
  <c r="B17" i="29"/>
  <c r="C16" i="29"/>
  <c r="U17" i="29"/>
  <c r="C15" i="29"/>
  <c r="AJ19" i="29"/>
  <c r="AA19" i="34"/>
  <c r="AL19" i="29" s="1"/>
  <c r="Z20" i="34"/>
  <c r="W23" i="34"/>
  <c r="V20" i="34"/>
  <c r="T20" i="34"/>
  <c r="S19" i="34"/>
  <c r="P20" i="34"/>
  <c r="Q23" i="34"/>
  <c r="M20" i="34"/>
  <c r="N23" i="34"/>
  <c r="J20" i="34"/>
  <c r="K23" i="34"/>
  <c r="H19" i="34"/>
  <c r="G18" i="34"/>
  <c r="AB18" i="34" s="1"/>
  <c r="AM16" i="29"/>
  <c r="D19" i="34"/>
  <c r="F18" i="34"/>
  <c r="E20" i="34"/>
  <c r="F19" i="34"/>
  <c r="AH16" i="34"/>
  <c r="V19" i="36"/>
  <c r="V18" i="28"/>
  <c r="X18" i="36"/>
  <c r="X18" i="28" s="1"/>
  <c r="W21" i="36"/>
  <c r="T21" i="36"/>
  <c r="S20" i="36"/>
  <c r="P20" i="36"/>
  <c r="Q23" i="36"/>
  <c r="M20" i="36"/>
  <c r="N23" i="36"/>
  <c r="K22" i="36"/>
  <c r="J20" i="36"/>
  <c r="L19" i="36"/>
  <c r="H20" i="36"/>
  <c r="E20" i="36"/>
  <c r="D19" i="36"/>
  <c r="W23" i="19"/>
  <c r="U21" i="19"/>
  <c r="T22" i="19"/>
  <c r="R21" i="19"/>
  <c r="Q22" i="19"/>
  <c r="P21" i="19"/>
  <c r="O21" i="19"/>
  <c r="N22" i="19"/>
  <c r="L20" i="19"/>
  <c r="K21" i="19"/>
  <c r="I17" i="19"/>
  <c r="I18" i="19"/>
  <c r="H19" i="19"/>
  <c r="E19" i="19"/>
  <c r="F18" i="19"/>
  <c r="D19" i="19" s="1"/>
  <c r="I24" i="20" l="1"/>
  <c r="R24" i="20" s="1"/>
  <c r="I19" i="20"/>
  <c r="R19" i="20" s="1"/>
  <c r="I23" i="20"/>
  <c r="I21" i="20"/>
  <c r="R21" i="20" s="1"/>
  <c r="I32" i="20"/>
  <c r="R32" i="20" s="1"/>
  <c r="I18" i="20"/>
  <c r="R18" i="20" s="1"/>
  <c r="I22" i="20"/>
  <c r="R22" i="20" s="1"/>
  <c r="I29" i="18"/>
  <c r="R29" i="18" s="1"/>
  <c r="P33" i="20"/>
  <c r="J34" i="20"/>
  <c r="R23" i="20"/>
  <c r="R31" i="20"/>
  <c r="R47" i="20" s="1"/>
  <c r="G17" i="20"/>
  <c r="P16" i="20"/>
  <c r="R26" i="18"/>
  <c r="R35" i="18"/>
  <c r="M18" i="18"/>
  <c r="M19" i="18" s="1"/>
  <c r="M20" i="18" s="1"/>
  <c r="M21" i="18" s="1"/>
  <c r="M22" i="18" s="1"/>
  <c r="M23" i="18" s="1"/>
  <c r="M24" i="18" s="1"/>
  <c r="M25" i="18" s="1"/>
  <c r="M26" i="18" s="1"/>
  <c r="M27" i="18" s="1"/>
  <c r="M28" i="18" s="1"/>
  <c r="M29" i="18" s="1"/>
  <c r="M30" i="18" s="1"/>
  <c r="M31" i="18" s="1"/>
  <c r="M32" i="18" s="1"/>
  <c r="M33" i="18" s="1"/>
  <c r="M34" i="18" s="1"/>
  <c r="M35" i="18" s="1"/>
  <c r="M36" i="18" s="1"/>
  <c r="M37" i="18" s="1"/>
  <c r="M38" i="18" s="1"/>
  <c r="M39" i="18" s="1"/>
  <c r="M40" i="18" s="1"/>
  <c r="M41" i="18" s="1"/>
  <c r="M42" i="18" s="1"/>
  <c r="M43" i="18" s="1"/>
  <c r="M44" i="18" s="1"/>
  <c r="M45" i="18" s="1"/>
  <c r="R17" i="18"/>
  <c r="R27" i="18"/>
  <c r="R39" i="18"/>
  <c r="J34" i="18"/>
  <c r="R23" i="18"/>
  <c r="R25" i="18"/>
  <c r="R31" i="18"/>
  <c r="G17" i="18"/>
  <c r="P16" i="18"/>
  <c r="I15" i="28"/>
  <c r="I37" i="27"/>
  <c r="I19" i="27"/>
  <c r="I35" i="27"/>
  <c r="R16" i="26"/>
  <c r="F18" i="26"/>
  <c r="D19" i="26"/>
  <c r="R18" i="26"/>
  <c r="D12" i="10" s="1"/>
  <c r="AD17" i="22"/>
  <c r="AB18" i="22" s="1"/>
  <c r="AA17" i="22"/>
  <c r="R36" i="26"/>
  <c r="D30" i="10" s="1"/>
  <c r="J18" i="26"/>
  <c r="J19" i="26" s="1"/>
  <c r="J20" i="26" s="1"/>
  <c r="J21" i="26" s="1"/>
  <c r="J22" i="26" s="1"/>
  <c r="J23" i="26" s="1"/>
  <c r="J24" i="26" s="1"/>
  <c r="J25" i="26" s="1"/>
  <c r="J26" i="26" s="1"/>
  <c r="J27" i="26" s="1"/>
  <c r="J28" i="26" s="1"/>
  <c r="J29" i="26" s="1"/>
  <c r="J30" i="26" s="1"/>
  <c r="J31" i="26" s="1"/>
  <c r="J32" i="26" s="1"/>
  <c r="J33" i="26" s="1"/>
  <c r="J34" i="26" s="1"/>
  <c r="J35" i="26" s="1"/>
  <c r="J36" i="26" s="1"/>
  <c r="J37" i="26" s="1"/>
  <c r="J38" i="26" s="1"/>
  <c r="J39" i="26" s="1"/>
  <c r="J40" i="26" s="1"/>
  <c r="J41" i="26" s="1"/>
  <c r="J42" i="26" s="1"/>
  <c r="J43" i="26" s="1"/>
  <c r="J44" i="26" s="1"/>
  <c r="J45" i="26" s="1"/>
  <c r="P45" i="26" s="1"/>
  <c r="L39" i="10" s="1"/>
  <c r="T39" i="10" s="1"/>
  <c r="R44" i="26"/>
  <c r="D38" i="10" s="1"/>
  <c r="R37" i="26"/>
  <c r="D31" i="10" s="1"/>
  <c r="D53" i="10" s="1"/>
  <c r="R17" i="26"/>
  <c r="D11" i="10" s="1"/>
  <c r="G17" i="26"/>
  <c r="D10" i="10"/>
  <c r="I18" i="34"/>
  <c r="AD18" i="34" s="1"/>
  <c r="I16" i="36"/>
  <c r="AD16" i="36" s="1"/>
  <c r="G16" i="28"/>
  <c r="AB17" i="35"/>
  <c r="AM17" i="29" s="1"/>
  <c r="I17" i="35"/>
  <c r="G17" i="29"/>
  <c r="M10" i="39"/>
  <c r="L5" i="40"/>
  <c r="AQ16" i="29"/>
  <c r="M5" i="40" s="1"/>
  <c r="AH16" i="35"/>
  <c r="AF17" i="35" s="1"/>
  <c r="H20" i="35"/>
  <c r="I16" i="29"/>
  <c r="AD16" i="35"/>
  <c r="Y16" i="28"/>
  <c r="J5" i="40" s="1"/>
  <c r="AC16" i="17"/>
  <c r="AC16" i="28" s="1"/>
  <c r="K5" i="40" s="1"/>
  <c r="P16" i="29"/>
  <c r="AA16" i="17"/>
  <c r="H19" i="17"/>
  <c r="G17" i="17"/>
  <c r="I32" i="5"/>
  <c r="G17" i="5"/>
  <c r="G18" i="5" s="1"/>
  <c r="G16" i="27"/>
  <c r="I33" i="5"/>
  <c r="C13" i="8"/>
  <c r="J7" i="6"/>
  <c r="L7" i="6" s="1"/>
  <c r="N10" i="10"/>
  <c r="U10" i="10" s="1"/>
  <c r="Y16" i="27"/>
  <c r="I5" i="40" s="1"/>
  <c r="F18" i="5"/>
  <c r="D19" i="5"/>
  <c r="D17" i="9"/>
  <c r="D17" i="8"/>
  <c r="Z21" i="5"/>
  <c r="E21" i="5"/>
  <c r="I25" i="5"/>
  <c r="K19" i="5"/>
  <c r="L18" i="5"/>
  <c r="J19" i="5" s="1"/>
  <c r="Y17" i="5"/>
  <c r="J8" i="6" s="1"/>
  <c r="L8" i="6" s="1"/>
  <c r="B32" i="5"/>
  <c r="C31" i="5"/>
  <c r="O17" i="5"/>
  <c r="AA17" i="5" s="1"/>
  <c r="M17" i="27"/>
  <c r="O17" i="27" s="1"/>
  <c r="O24" i="27" s="1"/>
  <c r="N25" i="27"/>
  <c r="E13" i="8"/>
  <c r="C7" i="6"/>
  <c r="E7" i="6" s="1"/>
  <c r="J19" i="19"/>
  <c r="J18" i="27"/>
  <c r="AA17" i="19"/>
  <c r="G17" i="19"/>
  <c r="AA16" i="19"/>
  <c r="V20" i="19"/>
  <c r="V20" i="27" s="1"/>
  <c r="X21" i="19"/>
  <c r="X20" i="19"/>
  <c r="V21" i="19" s="1"/>
  <c r="S20" i="19"/>
  <c r="S21" i="19" s="1"/>
  <c r="S22" i="19" s="1"/>
  <c r="P22" i="19"/>
  <c r="M20" i="19"/>
  <c r="W24" i="5"/>
  <c r="X23" i="5"/>
  <c r="V23" i="5"/>
  <c r="S19" i="27"/>
  <c r="S20" i="5"/>
  <c r="T24" i="5"/>
  <c r="U23" i="5"/>
  <c r="U21" i="5"/>
  <c r="P19" i="5"/>
  <c r="P18" i="27"/>
  <c r="Q36" i="5"/>
  <c r="R35" i="5"/>
  <c r="E10" i="10"/>
  <c r="D10" i="39"/>
  <c r="H10" i="39" s="1"/>
  <c r="C14" i="8"/>
  <c r="G19" i="5"/>
  <c r="K10" i="10"/>
  <c r="C17" i="28"/>
  <c r="B18" i="28"/>
  <c r="AD23" i="28"/>
  <c r="AR22" i="29"/>
  <c r="V21" i="29"/>
  <c r="C17" i="29"/>
  <c r="B18" i="29"/>
  <c r="W17" i="29"/>
  <c r="Y20" i="34"/>
  <c r="AA20" i="34"/>
  <c r="AL20" i="29" s="1"/>
  <c r="Z21" i="34"/>
  <c r="W24" i="34"/>
  <c r="X20" i="34"/>
  <c r="AI20" i="29" s="1"/>
  <c r="AG20" i="29"/>
  <c r="AD19" i="29"/>
  <c r="T21" i="34"/>
  <c r="U19" i="34"/>
  <c r="AF19" i="29" s="1"/>
  <c r="Q24" i="34"/>
  <c r="P21" i="34"/>
  <c r="R20" i="34"/>
  <c r="AC20" i="29" s="1"/>
  <c r="AA20" i="29"/>
  <c r="N24" i="34"/>
  <c r="M21" i="34"/>
  <c r="O20" i="34"/>
  <c r="K24" i="34"/>
  <c r="L20" i="34"/>
  <c r="L20" i="29" s="1"/>
  <c r="G19" i="34"/>
  <c r="H20" i="34"/>
  <c r="F20" i="34"/>
  <c r="E21" i="34"/>
  <c r="D20" i="34"/>
  <c r="O20" i="29"/>
  <c r="M20" i="29"/>
  <c r="J20" i="29"/>
  <c r="AF17" i="34"/>
  <c r="W22" i="36"/>
  <c r="V20" i="36"/>
  <c r="X19" i="36"/>
  <c r="X19" i="28" s="1"/>
  <c r="V19" i="28"/>
  <c r="S20" i="28"/>
  <c r="T22" i="36"/>
  <c r="U20" i="36"/>
  <c r="U20" i="28" s="1"/>
  <c r="Q24" i="36"/>
  <c r="P21" i="36"/>
  <c r="R20" i="36"/>
  <c r="R20" i="28" s="1"/>
  <c r="P20" i="28"/>
  <c r="N24" i="36"/>
  <c r="O20" i="36"/>
  <c r="M21" i="36" s="1"/>
  <c r="M20" i="28"/>
  <c r="O20" i="28" s="1"/>
  <c r="L20" i="36"/>
  <c r="J21" i="36" s="1"/>
  <c r="J20" i="28"/>
  <c r="L20" i="28" s="1"/>
  <c r="K23" i="36"/>
  <c r="H21" i="36"/>
  <c r="F19" i="36"/>
  <c r="E21" i="36"/>
  <c r="X23" i="19"/>
  <c r="W24" i="19"/>
  <c r="T23" i="19"/>
  <c r="U22" i="19"/>
  <c r="S23" i="19" s="1"/>
  <c r="R22" i="19"/>
  <c r="P23" i="19" s="1"/>
  <c r="Q23" i="19"/>
  <c r="O22" i="19"/>
  <c r="N23" i="19"/>
  <c r="L21" i="19"/>
  <c r="K22" i="19"/>
  <c r="I19" i="19"/>
  <c r="H20" i="19"/>
  <c r="E20" i="19"/>
  <c r="F19" i="19"/>
  <c r="D20" i="19" s="1"/>
  <c r="AA18" i="19"/>
  <c r="R48" i="18" l="1"/>
  <c r="R48" i="20"/>
  <c r="J35" i="20"/>
  <c r="P34" i="20"/>
  <c r="G18" i="20"/>
  <c r="P17" i="20"/>
  <c r="P16" i="26"/>
  <c r="L10" i="10" s="1"/>
  <c r="T10" i="10" s="1"/>
  <c r="P33" i="18"/>
  <c r="R47" i="18"/>
  <c r="P34" i="18"/>
  <c r="J35" i="18"/>
  <c r="G18" i="18"/>
  <c r="P17" i="18"/>
  <c r="G17" i="36"/>
  <c r="I17" i="36" s="1"/>
  <c r="AD17" i="36" s="1"/>
  <c r="I10" i="10"/>
  <c r="F19" i="26"/>
  <c r="R19" i="26" s="1"/>
  <c r="D13" i="10" s="1"/>
  <c r="AD18" i="22"/>
  <c r="Y18" i="22"/>
  <c r="G18" i="26"/>
  <c r="P17" i="26"/>
  <c r="L11" i="10" s="1"/>
  <c r="I19" i="34"/>
  <c r="AD19" i="34" s="1"/>
  <c r="AB19" i="34"/>
  <c r="I16" i="28"/>
  <c r="X17" i="29"/>
  <c r="P17" i="29"/>
  <c r="H21" i="35"/>
  <c r="AD17" i="35"/>
  <c r="AO17" i="29" s="1"/>
  <c r="I17" i="29"/>
  <c r="R16" i="29"/>
  <c r="Z16" i="29"/>
  <c r="L6" i="40"/>
  <c r="M11" i="39"/>
  <c r="AQ17" i="29"/>
  <c r="M6" i="40" s="1"/>
  <c r="AH17" i="35"/>
  <c r="AS17" i="29" s="1"/>
  <c r="H6" i="40" s="1"/>
  <c r="Z6" i="40" s="1"/>
  <c r="AO16" i="29"/>
  <c r="AS16" i="29"/>
  <c r="H5" i="40" s="1"/>
  <c r="Z5" i="40" s="1"/>
  <c r="G18" i="35"/>
  <c r="AB17" i="36"/>
  <c r="H20" i="17"/>
  <c r="AE16" i="17"/>
  <c r="AC17" i="17" s="1"/>
  <c r="P10" i="10"/>
  <c r="V10" i="10" s="1"/>
  <c r="L10" i="39"/>
  <c r="Y17" i="17"/>
  <c r="I17" i="17"/>
  <c r="AA16" i="28"/>
  <c r="E14" i="8"/>
  <c r="C8" i="6"/>
  <c r="E8" i="6" s="1"/>
  <c r="AA18" i="5"/>
  <c r="K10" i="39"/>
  <c r="K20" i="5"/>
  <c r="L19" i="5"/>
  <c r="J20" i="5" s="1"/>
  <c r="E22" i="5"/>
  <c r="O33" i="5"/>
  <c r="O39" i="5"/>
  <c r="O40" i="5"/>
  <c r="O43" i="5"/>
  <c r="O24" i="5"/>
  <c r="O29" i="5"/>
  <c r="O35" i="5"/>
  <c r="O28" i="5"/>
  <c r="O26" i="5"/>
  <c r="O38" i="5"/>
  <c r="O20" i="5"/>
  <c r="O25" i="5"/>
  <c r="O44" i="5"/>
  <c r="O45" i="5"/>
  <c r="O34" i="5"/>
  <c r="O42" i="5"/>
  <c r="O32" i="5"/>
  <c r="O21" i="5"/>
  <c r="O36" i="5"/>
  <c r="O41" i="5"/>
  <c r="O31" i="5"/>
  <c r="O22" i="5"/>
  <c r="O37" i="5"/>
  <c r="O19" i="5"/>
  <c r="O27" i="5"/>
  <c r="O46" i="5"/>
  <c r="O18" i="5"/>
  <c r="O30" i="5"/>
  <c r="O23" i="5"/>
  <c r="M18" i="5"/>
  <c r="B33" i="5"/>
  <c r="C32" i="5"/>
  <c r="Z22" i="5"/>
  <c r="D18" i="9"/>
  <c r="D18" i="8"/>
  <c r="D20" i="5"/>
  <c r="F19" i="5"/>
  <c r="O22" i="27"/>
  <c r="O20" i="27"/>
  <c r="O23" i="27"/>
  <c r="O21" i="27"/>
  <c r="O18" i="27"/>
  <c r="AA18" i="27" s="1"/>
  <c r="O19" i="27"/>
  <c r="AA17" i="27"/>
  <c r="N26" i="27"/>
  <c r="O25" i="27"/>
  <c r="L13" i="8"/>
  <c r="X13" i="8"/>
  <c r="R13" i="8"/>
  <c r="J19" i="27"/>
  <c r="J20" i="19"/>
  <c r="G17" i="27"/>
  <c r="Y17" i="19"/>
  <c r="G18" i="19"/>
  <c r="V21" i="27"/>
  <c r="V22" i="19"/>
  <c r="M21" i="19"/>
  <c r="V24" i="5"/>
  <c r="W25" i="5"/>
  <c r="X24" i="5"/>
  <c r="S21" i="5"/>
  <c r="S20" i="27"/>
  <c r="T25" i="5"/>
  <c r="U24" i="5"/>
  <c r="P19" i="27"/>
  <c r="P20" i="5"/>
  <c r="R36" i="5"/>
  <c r="G20" i="5"/>
  <c r="C18" i="28"/>
  <c r="B19" i="28"/>
  <c r="AD24" i="28"/>
  <c r="AR23" i="29"/>
  <c r="C18" i="29"/>
  <c r="B19" i="29"/>
  <c r="U18" i="29"/>
  <c r="V22" i="29"/>
  <c r="Z22" i="34"/>
  <c r="Y21" i="34"/>
  <c r="AJ20" i="29"/>
  <c r="W25" i="34"/>
  <c r="V21" i="34"/>
  <c r="S20" i="34"/>
  <c r="T22" i="34"/>
  <c r="R21" i="34"/>
  <c r="AC21" i="29" s="1"/>
  <c r="AA21" i="29"/>
  <c r="Q25" i="34"/>
  <c r="O21" i="34"/>
  <c r="M22" i="34" s="1"/>
  <c r="N25" i="34"/>
  <c r="J21" i="34"/>
  <c r="K25" i="34"/>
  <c r="H21" i="34"/>
  <c r="D21" i="34"/>
  <c r="E22" i="34"/>
  <c r="M21" i="29"/>
  <c r="O21" i="29"/>
  <c r="AH17" i="34"/>
  <c r="X20" i="36"/>
  <c r="V21" i="36" s="1"/>
  <c r="W23" i="36"/>
  <c r="V20" i="28"/>
  <c r="S21" i="36"/>
  <c r="T23" i="36"/>
  <c r="R21" i="36"/>
  <c r="R21" i="28" s="1"/>
  <c r="P21" i="28"/>
  <c r="Q25" i="36"/>
  <c r="M21" i="28"/>
  <c r="O21" i="28" s="1"/>
  <c r="O21" i="36"/>
  <c r="M22" i="36" s="1"/>
  <c r="N25" i="36"/>
  <c r="J21" i="28"/>
  <c r="L21" i="28" s="1"/>
  <c r="L21" i="36"/>
  <c r="J22" i="36" s="1"/>
  <c r="K24" i="36"/>
  <c r="H22" i="36"/>
  <c r="E22" i="36"/>
  <c r="D20" i="36"/>
  <c r="X20" i="28"/>
  <c r="AH17" i="36"/>
  <c r="W25" i="19"/>
  <c r="X24" i="19"/>
  <c r="T24" i="19"/>
  <c r="U23" i="19"/>
  <c r="S24" i="19" s="1"/>
  <c r="Q24" i="19"/>
  <c r="R23" i="19"/>
  <c r="P24" i="19" s="1"/>
  <c r="N24" i="19"/>
  <c r="O23" i="19"/>
  <c r="K23" i="19"/>
  <c r="L22" i="19"/>
  <c r="H21" i="19"/>
  <c r="I20" i="19"/>
  <c r="F20" i="19"/>
  <c r="D21" i="19" s="1"/>
  <c r="E21" i="19"/>
  <c r="AA19" i="27"/>
  <c r="D8" i="40" s="1"/>
  <c r="V8" i="40" s="1"/>
  <c r="AA19" i="19"/>
  <c r="P35" i="20" l="1"/>
  <c r="J36" i="20"/>
  <c r="G19" i="20"/>
  <c r="P18" i="20"/>
  <c r="J36" i="18"/>
  <c r="P35" i="18"/>
  <c r="P18" i="18"/>
  <c r="G19" i="18"/>
  <c r="G17" i="28"/>
  <c r="G20" i="34"/>
  <c r="AB20" i="34" s="1"/>
  <c r="Q5" i="40"/>
  <c r="D20" i="26"/>
  <c r="AA18" i="22"/>
  <c r="AB19" i="22"/>
  <c r="M11" i="10"/>
  <c r="T11" i="10"/>
  <c r="P18" i="26"/>
  <c r="L12" i="10" s="1"/>
  <c r="G19" i="26"/>
  <c r="Y17" i="28"/>
  <c r="H22" i="35"/>
  <c r="F10" i="39"/>
  <c r="G5" i="40"/>
  <c r="Y5" i="40" s="1"/>
  <c r="AB18" i="35"/>
  <c r="AM18" i="29" s="1"/>
  <c r="G18" i="29"/>
  <c r="I18" i="35"/>
  <c r="G19" i="35" s="1"/>
  <c r="Z17" i="29"/>
  <c r="R17" i="29"/>
  <c r="AF18" i="35"/>
  <c r="G6" i="40"/>
  <c r="Y6" i="40" s="1"/>
  <c r="F11" i="39"/>
  <c r="G18" i="36"/>
  <c r="AA17" i="17"/>
  <c r="I17" i="28"/>
  <c r="E5" i="40"/>
  <c r="E10" i="39"/>
  <c r="F10" i="10"/>
  <c r="J10" i="10" s="1"/>
  <c r="AC17" i="28"/>
  <c r="K6" i="40" s="1"/>
  <c r="AE17" i="17"/>
  <c r="AE17" i="28" s="1"/>
  <c r="F6" i="40" s="1"/>
  <c r="H21" i="17"/>
  <c r="G18" i="17"/>
  <c r="AE16" i="28"/>
  <c r="F5" i="40" s="1"/>
  <c r="E12" i="10"/>
  <c r="D12" i="39"/>
  <c r="D7" i="40"/>
  <c r="V7" i="40" s="1"/>
  <c r="M19" i="5"/>
  <c r="M18" i="27"/>
  <c r="Y18" i="5"/>
  <c r="C9" i="6"/>
  <c r="E9" i="6" s="1"/>
  <c r="E15" i="8"/>
  <c r="AA19" i="5"/>
  <c r="D19" i="9"/>
  <c r="D19" i="8"/>
  <c r="Z23" i="5"/>
  <c r="L20" i="5"/>
  <c r="J21" i="5" s="1"/>
  <c r="K21" i="5"/>
  <c r="D6" i="40"/>
  <c r="V6" i="40" s="1"/>
  <c r="E11" i="10"/>
  <c r="D11" i="39"/>
  <c r="F20" i="5"/>
  <c r="AA20" i="5" s="1"/>
  <c r="X14" i="8"/>
  <c r="L14" i="8"/>
  <c r="R14" i="8"/>
  <c r="C33" i="5"/>
  <c r="B34" i="5"/>
  <c r="E23" i="5"/>
  <c r="N27" i="27"/>
  <c r="O26" i="27"/>
  <c r="J21" i="19"/>
  <c r="J20" i="27"/>
  <c r="Y17" i="27"/>
  <c r="N11" i="10"/>
  <c r="G18" i="27"/>
  <c r="Y18" i="19"/>
  <c r="G19" i="19"/>
  <c r="V22" i="27"/>
  <c r="V23" i="19"/>
  <c r="M22" i="19"/>
  <c r="W26" i="5"/>
  <c r="X25" i="5"/>
  <c r="V25" i="5"/>
  <c r="S22" i="5"/>
  <c r="S21" i="27"/>
  <c r="T26" i="5"/>
  <c r="U25" i="5"/>
  <c r="P21" i="5"/>
  <c r="P20" i="27"/>
  <c r="G21" i="5"/>
  <c r="C19" i="28"/>
  <c r="B20" i="28"/>
  <c r="AD25" i="28"/>
  <c r="AR24" i="29"/>
  <c r="V23" i="29"/>
  <c r="U19" i="29"/>
  <c r="W18" i="29"/>
  <c r="C19" i="29"/>
  <c r="B20" i="29"/>
  <c r="AJ21" i="29"/>
  <c r="AA21" i="34"/>
  <c r="AL21" i="29" s="1"/>
  <c r="Z23" i="34"/>
  <c r="X21" i="34"/>
  <c r="AI21" i="29" s="1"/>
  <c r="AG21" i="29"/>
  <c r="W26" i="34"/>
  <c r="T23" i="34"/>
  <c r="S21" i="34"/>
  <c r="AD20" i="29"/>
  <c r="U20" i="34"/>
  <c r="AF20" i="29" s="1"/>
  <c r="P22" i="34"/>
  <c r="Q26" i="34"/>
  <c r="O22" i="34"/>
  <c r="M23" i="34" s="1"/>
  <c r="N26" i="34"/>
  <c r="K26" i="34"/>
  <c r="L21" i="34"/>
  <c r="J22" i="34" s="1"/>
  <c r="H22" i="34"/>
  <c r="D22" i="34"/>
  <c r="F21" i="34"/>
  <c r="E23" i="34"/>
  <c r="L21" i="29"/>
  <c r="J21" i="29"/>
  <c r="AF18" i="34"/>
  <c r="V22" i="36"/>
  <c r="X21" i="36"/>
  <c r="V21" i="28"/>
  <c r="W24" i="36"/>
  <c r="T24" i="36"/>
  <c r="S22" i="36"/>
  <c r="S21" i="28"/>
  <c r="U21" i="36"/>
  <c r="U21" i="28" s="1"/>
  <c r="P22" i="36"/>
  <c r="Q26" i="36"/>
  <c r="M22" i="28"/>
  <c r="O22" i="28" s="1"/>
  <c r="O22" i="36"/>
  <c r="M23" i="36" s="1"/>
  <c r="N26" i="36"/>
  <c r="J22" i="28"/>
  <c r="L22" i="28" s="1"/>
  <c r="L22" i="36"/>
  <c r="J23" i="36" s="1"/>
  <c r="K25" i="36"/>
  <c r="H23" i="36"/>
  <c r="F20" i="36"/>
  <c r="E23" i="36"/>
  <c r="X21" i="28"/>
  <c r="AF18" i="36"/>
  <c r="X25" i="19"/>
  <c r="W26" i="19"/>
  <c r="U24" i="19"/>
  <c r="S25" i="19" s="1"/>
  <c r="T25" i="19"/>
  <c r="Q25" i="19"/>
  <c r="R24" i="19"/>
  <c r="P25" i="19" s="1"/>
  <c r="N25" i="19"/>
  <c r="O24" i="19"/>
  <c r="K24" i="19"/>
  <c r="L23" i="19"/>
  <c r="H22" i="19"/>
  <c r="I21" i="19"/>
  <c r="F21" i="19"/>
  <c r="D22" i="19" s="1"/>
  <c r="E22" i="19"/>
  <c r="E13" i="10"/>
  <c r="D13" i="39"/>
  <c r="J37" i="20" l="1"/>
  <c r="P36" i="20"/>
  <c r="G20" i="20"/>
  <c r="P19" i="20"/>
  <c r="J37" i="18"/>
  <c r="P36" i="18"/>
  <c r="G20" i="18"/>
  <c r="P19" i="18"/>
  <c r="L11" i="39"/>
  <c r="J6" i="40"/>
  <c r="X6" i="40"/>
  <c r="O6" i="40"/>
  <c r="W5" i="40"/>
  <c r="N5" i="40"/>
  <c r="X5" i="40"/>
  <c r="O5" i="40"/>
  <c r="I20" i="34"/>
  <c r="P5" i="40"/>
  <c r="F20" i="26"/>
  <c r="R20" i="26" s="1"/>
  <c r="Y19" i="22"/>
  <c r="AD19" i="22"/>
  <c r="AB20" i="22" s="1"/>
  <c r="G20" i="26"/>
  <c r="P19" i="26"/>
  <c r="L13" i="10" s="1"/>
  <c r="T12" i="10"/>
  <c r="M12" i="10"/>
  <c r="P11" i="10"/>
  <c r="V11" i="10" s="1"/>
  <c r="AC18" i="17"/>
  <c r="AE18" i="17" s="1"/>
  <c r="AC19" i="17" s="1"/>
  <c r="AB19" i="35"/>
  <c r="AM19" i="29" s="1"/>
  <c r="I19" i="35"/>
  <c r="G19" i="29"/>
  <c r="L7" i="40"/>
  <c r="M12" i="39"/>
  <c r="X18" i="29"/>
  <c r="P18" i="29"/>
  <c r="AQ18" i="29"/>
  <c r="M7" i="40" s="1"/>
  <c r="AH18" i="35"/>
  <c r="AF19" i="35" s="1"/>
  <c r="AD18" i="35"/>
  <c r="I18" i="29"/>
  <c r="H23" i="35"/>
  <c r="I18" i="36"/>
  <c r="AD18" i="36" s="1"/>
  <c r="AB18" i="36"/>
  <c r="Q11" i="10"/>
  <c r="AC18" i="28"/>
  <c r="K7" i="40" s="1"/>
  <c r="G18" i="28"/>
  <c r="Y18" i="17"/>
  <c r="I18" i="17"/>
  <c r="H22" i="17"/>
  <c r="AA17" i="28"/>
  <c r="E24" i="5"/>
  <c r="D21" i="5"/>
  <c r="K22" i="5"/>
  <c r="L21" i="5"/>
  <c r="J22" i="5" s="1"/>
  <c r="C10" i="6"/>
  <c r="E10" i="6" s="1"/>
  <c r="E16" i="8"/>
  <c r="I12" i="10"/>
  <c r="K12" i="10"/>
  <c r="C11" i="6"/>
  <c r="E11" i="6" s="1"/>
  <c r="E17" i="8"/>
  <c r="Q6" i="40"/>
  <c r="P6" i="40"/>
  <c r="C15" i="8"/>
  <c r="J9" i="6"/>
  <c r="L9" i="6" s="1"/>
  <c r="C34" i="5"/>
  <c r="B35" i="5"/>
  <c r="I11" i="10"/>
  <c r="K11" i="10"/>
  <c r="D20" i="9"/>
  <c r="D20" i="8"/>
  <c r="Z24" i="5"/>
  <c r="L15" i="8"/>
  <c r="R15" i="8"/>
  <c r="X15" i="8"/>
  <c r="M20" i="5"/>
  <c r="M19" i="27"/>
  <c r="Y19" i="5"/>
  <c r="N28" i="27"/>
  <c r="O27" i="27"/>
  <c r="J22" i="19"/>
  <c r="J21" i="27"/>
  <c r="U11" i="10"/>
  <c r="O11" i="10"/>
  <c r="Y18" i="27"/>
  <c r="N12" i="10"/>
  <c r="G19" i="27"/>
  <c r="Y19" i="19"/>
  <c r="G20" i="19"/>
  <c r="I6" i="40"/>
  <c r="K11" i="39"/>
  <c r="V24" i="19"/>
  <c r="V23" i="27"/>
  <c r="M23" i="19"/>
  <c r="V26" i="5"/>
  <c r="W27" i="5"/>
  <c r="X26" i="5"/>
  <c r="S23" i="5"/>
  <c r="S22" i="27"/>
  <c r="T27" i="5"/>
  <c r="U26" i="5"/>
  <c r="P22" i="5"/>
  <c r="P21" i="27"/>
  <c r="G22" i="5"/>
  <c r="B21" i="28"/>
  <c r="C20" i="28"/>
  <c r="AD26" i="28"/>
  <c r="AR25" i="29"/>
  <c r="V24" i="29"/>
  <c r="U20" i="29"/>
  <c r="W19" i="29"/>
  <c r="B21" i="29"/>
  <c r="C20" i="29"/>
  <c r="Y22" i="34"/>
  <c r="Z24" i="34"/>
  <c r="W27" i="34"/>
  <c r="V22" i="34"/>
  <c r="AD21" i="29"/>
  <c r="U21" i="34"/>
  <c r="AF21" i="29" s="1"/>
  <c r="T24" i="34"/>
  <c r="Q27" i="34"/>
  <c r="P23" i="34"/>
  <c r="AA22" i="29"/>
  <c r="R22" i="34"/>
  <c r="AC22" i="29" s="1"/>
  <c r="O23" i="34"/>
  <c r="M24" i="34" s="1"/>
  <c r="N27" i="34"/>
  <c r="J23" i="34"/>
  <c r="L22" i="34"/>
  <c r="K27" i="34"/>
  <c r="H23" i="34"/>
  <c r="D23" i="34"/>
  <c r="F22" i="34"/>
  <c r="E24" i="34"/>
  <c r="M22" i="29"/>
  <c r="O22" i="29"/>
  <c r="AH18" i="34"/>
  <c r="AF19" i="34" s="1"/>
  <c r="V23" i="36"/>
  <c r="X22" i="36"/>
  <c r="V22" i="28"/>
  <c r="W25" i="36"/>
  <c r="S23" i="36"/>
  <c r="S22" i="28"/>
  <c r="U22" i="36"/>
  <c r="U22" i="28" s="1"/>
  <c r="T25" i="36"/>
  <c r="Q27" i="36"/>
  <c r="P23" i="36"/>
  <c r="P22" i="28"/>
  <c r="R22" i="36"/>
  <c r="R22" i="28" s="1"/>
  <c r="M23" i="28"/>
  <c r="O23" i="28" s="1"/>
  <c r="O23" i="36"/>
  <c r="M24" i="36" s="1"/>
  <c r="N27" i="36"/>
  <c r="J23" i="28"/>
  <c r="L23" i="28" s="1"/>
  <c r="L23" i="36"/>
  <c r="J24" i="36" s="1"/>
  <c r="K26" i="36"/>
  <c r="H24" i="36"/>
  <c r="D21" i="36"/>
  <c r="E24" i="36"/>
  <c r="X22" i="28"/>
  <c r="AH18" i="36"/>
  <c r="AF19" i="36" s="1"/>
  <c r="X26" i="19"/>
  <c r="W27" i="19"/>
  <c r="U25" i="19"/>
  <c r="S26" i="19" s="1"/>
  <c r="T26" i="19"/>
  <c r="R25" i="19"/>
  <c r="P26" i="19" s="1"/>
  <c r="Q26" i="19"/>
  <c r="O25" i="19"/>
  <c r="N26" i="19"/>
  <c r="L24" i="19"/>
  <c r="K25" i="19"/>
  <c r="I22" i="19"/>
  <c r="H23" i="19"/>
  <c r="E23" i="19"/>
  <c r="F22" i="19"/>
  <c r="D23" i="19" s="1"/>
  <c r="K13" i="10"/>
  <c r="I13" i="10"/>
  <c r="Y20" i="19"/>
  <c r="AA20" i="27"/>
  <c r="D9" i="40" s="1"/>
  <c r="V9" i="40" s="1"/>
  <c r="AA20" i="19"/>
  <c r="P37" i="20" l="1"/>
  <c r="J38" i="20"/>
  <c r="P20" i="20"/>
  <c r="G21" i="20"/>
  <c r="J38" i="18"/>
  <c r="P37" i="18"/>
  <c r="G21" i="18"/>
  <c r="P20" i="18"/>
  <c r="AD20" i="34"/>
  <c r="G21" i="34"/>
  <c r="D21" i="26"/>
  <c r="D14" i="10"/>
  <c r="AD20" i="22"/>
  <c r="AB21" i="22" s="1"/>
  <c r="AA19" i="22"/>
  <c r="Y20" i="22"/>
  <c r="T13" i="10"/>
  <c r="M13" i="10"/>
  <c r="G21" i="26"/>
  <c r="P20" i="26"/>
  <c r="L14" i="10" s="1"/>
  <c r="AQ19" i="29"/>
  <c r="M8" i="40" s="1"/>
  <c r="AH19" i="35"/>
  <c r="AS19" i="29" s="1"/>
  <c r="H8" i="40" s="1"/>
  <c r="AO18" i="29"/>
  <c r="X19" i="29"/>
  <c r="P19" i="29"/>
  <c r="AD19" i="35"/>
  <c r="AO19" i="29" s="1"/>
  <c r="I19" i="29"/>
  <c r="AS18" i="29"/>
  <c r="H7" i="40" s="1"/>
  <c r="Z7" i="40" s="1"/>
  <c r="L8" i="40"/>
  <c r="M13" i="39"/>
  <c r="H24" i="35"/>
  <c r="Z18" i="29"/>
  <c r="R18" i="29"/>
  <c r="G20" i="35"/>
  <c r="Y18" i="28"/>
  <c r="G19" i="36"/>
  <c r="AA18" i="17"/>
  <c r="I18" i="28"/>
  <c r="AC19" i="28"/>
  <c r="K8" i="40" s="1"/>
  <c r="AE19" i="17"/>
  <c r="E6" i="40"/>
  <c r="E11" i="39"/>
  <c r="F11" i="10"/>
  <c r="J11" i="10" s="1"/>
  <c r="G19" i="17"/>
  <c r="H23" i="17"/>
  <c r="AE18" i="28"/>
  <c r="F7" i="40" s="1"/>
  <c r="F21" i="5"/>
  <c r="AA21" i="5" s="1"/>
  <c r="B36" i="5"/>
  <c r="C35" i="5"/>
  <c r="E25" i="5"/>
  <c r="L16" i="8"/>
  <c r="R16" i="8"/>
  <c r="X16" i="8"/>
  <c r="J10" i="6"/>
  <c r="L10" i="6" s="1"/>
  <c r="C16" i="8"/>
  <c r="M21" i="5"/>
  <c r="M20" i="27"/>
  <c r="Y20" i="5"/>
  <c r="Z25" i="5"/>
  <c r="D21" i="9"/>
  <c r="D21" i="8"/>
  <c r="R17" i="8"/>
  <c r="L17" i="8"/>
  <c r="X17" i="8"/>
  <c r="K23" i="5"/>
  <c r="L22" i="5"/>
  <c r="J23" i="5" s="1"/>
  <c r="N29" i="27"/>
  <c r="O28" i="27"/>
  <c r="J22" i="27"/>
  <c r="J23" i="19"/>
  <c r="I7" i="40"/>
  <c r="K12" i="39"/>
  <c r="G21" i="19"/>
  <c r="G20" i="27"/>
  <c r="O12" i="10"/>
  <c r="U12" i="10"/>
  <c r="N13" i="10"/>
  <c r="Y19" i="27"/>
  <c r="V25" i="19"/>
  <c r="V24" i="27"/>
  <c r="M24" i="19"/>
  <c r="W28" i="5"/>
  <c r="X27" i="5"/>
  <c r="V27" i="5"/>
  <c r="V28" i="5" s="1"/>
  <c r="S24" i="5"/>
  <c r="S23" i="27"/>
  <c r="T28" i="5"/>
  <c r="U27" i="5"/>
  <c r="P23" i="5"/>
  <c r="P22" i="27"/>
  <c r="G23" i="5"/>
  <c r="C21" i="28"/>
  <c r="B22" i="28"/>
  <c r="AD27" i="28"/>
  <c r="AR26" i="29"/>
  <c r="W20" i="29"/>
  <c r="V25" i="29"/>
  <c r="B22" i="29"/>
  <c r="C21" i="29"/>
  <c r="Z25" i="34"/>
  <c r="Y23" i="34"/>
  <c r="AJ22" i="29"/>
  <c r="AA22" i="34"/>
  <c r="AL22" i="29" s="1"/>
  <c r="AG22" i="29"/>
  <c r="X22" i="34"/>
  <c r="AI22" i="29" s="1"/>
  <c r="W28" i="34"/>
  <c r="T25" i="34"/>
  <c r="S22" i="34"/>
  <c r="AA23" i="29"/>
  <c r="R23" i="34"/>
  <c r="AC23" i="29" s="1"/>
  <c r="Q28" i="34"/>
  <c r="O24" i="34"/>
  <c r="M25" i="34" s="1"/>
  <c r="N28" i="34"/>
  <c r="L23" i="34"/>
  <c r="J24" i="34" s="1"/>
  <c r="K28" i="34"/>
  <c r="H24" i="34"/>
  <c r="D24" i="34"/>
  <c r="E25" i="34"/>
  <c r="F23" i="34"/>
  <c r="M23" i="29"/>
  <c r="O23" i="29"/>
  <c r="J22" i="29"/>
  <c r="L22" i="29"/>
  <c r="AH19" i="34"/>
  <c r="W26" i="36"/>
  <c r="V24" i="36"/>
  <c r="X23" i="36"/>
  <c r="V23" i="28"/>
  <c r="T26" i="36"/>
  <c r="S23" i="28"/>
  <c r="U23" i="36"/>
  <c r="U23" i="28" s="1"/>
  <c r="P23" i="28"/>
  <c r="R23" i="36"/>
  <c r="R23" i="28" s="1"/>
  <c r="Q28" i="36"/>
  <c r="M24" i="28"/>
  <c r="O24" i="28" s="1"/>
  <c r="O24" i="36"/>
  <c r="M25" i="36" s="1"/>
  <c r="N28" i="36"/>
  <c r="J24" i="28"/>
  <c r="L24" i="28" s="1"/>
  <c r="L24" i="36"/>
  <c r="J25" i="36" s="1"/>
  <c r="K27" i="36"/>
  <c r="H25" i="36"/>
  <c r="F21" i="36"/>
  <c r="E25" i="36"/>
  <c r="X23" i="28"/>
  <c r="V24" i="28"/>
  <c r="AH19" i="36"/>
  <c r="AF20" i="36" s="1"/>
  <c r="W28" i="19"/>
  <c r="X27" i="19"/>
  <c r="T27" i="19"/>
  <c r="U26" i="19"/>
  <c r="S27" i="19" s="1"/>
  <c r="R26" i="19"/>
  <c r="P27" i="19" s="1"/>
  <c r="Q27" i="19"/>
  <c r="O26" i="19"/>
  <c r="N27" i="19"/>
  <c r="L25" i="19"/>
  <c r="K26" i="19"/>
  <c r="I23" i="19"/>
  <c r="H24" i="19"/>
  <c r="E24" i="19"/>
  <c r="F23" i="19"/>
  <c r="D24" i="19" s="1"/>
  <c r="AA21" i="27"/>
  <c r="D10" i="40" s="1"/>
  <c r="V10" i="40" s="1"/>
  <c r="AA21" i="19"/>
  <c r="E14" i="10"/>
  <c r="D14" i="39"/>
  <c r="J39" i="20" l="1"/>
  <c r="P38" i="20"/>
  <c r="G22" i="20"/>
  <c r="P21" i="20"/>
  <c r="J39" i="18"/>
  <c r="P38" i="18"/>
  <c r="G22" i="18"/>
  <c r="P21" i="18"/>
  <c r="W6" i="40"/>
  <c r="N6" i="40"/>
  <c r="L12" i="39"/>
  <c r="J7" i="40"/>
  <c r="X7" i="40"/>
  <c r="O7" i="40"/>
  <c r="AB21" i="34"/>
  <c r="I21" i="34"/>
  <c r="AD21" i="34" s="1"/>
  <c r="G22" i="34"/>
  <c r="Q8" i="40"/>
  <c r="Z8" i="40"/>
  <c r="Q7" i="40"/>
  <c r="D49" i="10"/>
  <c r="F21" i="26"/>
  <c r="R21" i="26" s="1"/>
  <c r="AD21" i="22"/>
  <c r="AA20" i="22"/>
  <c r="Y21" i="22" s="1"/>
  <c r="G22" i="26"/>
  <c r="P21" i="26"/>
  <c r="L15" i="10" s="1"/>
  <c r="T14" i="10"/>
  <c r="M14" i="10"/>
  <c r="P12" i="10"/>
  <c r="G7" i="40"/>
  <c r="Y7" i="40" s="1"/>
  <c r="F12" i="39"/>
  <c r="Z19" i="29"/>
  <c r="R19" i="29"/>
  <c r="AF20" i="35"/>
  <c r="AB20" i="35"/>
  <c r="AM20" i="29" s="1"/>
  <c r="I20" i="35"/>
  <c r="G20" i="29"/>
  <c r="H25" i="35"/>
  <c r="G8" i="40"/>
  <c r="F13" i="39"/>
  <c r="AB19" i="36"/>
  <c r="I19" i="36"/>
  <c r="AD19" i="36" s="1"/>
  <c r="AE19" i="28"/>
  <c r="F8" i="40" s="1"/>
  <c r="H24" i="17"/>
  <c r="V12" i="10"/>
  <c r="Q12" i="10"/>
  <c r="Y19" i="17"/>
  <c r="G19" i="28"/>
  <c r="I19" i="17"/>
  <c r="G20" i="17" s="1"/>
  <c r="AC20" i="17"/>
  <c r="AA18" i="28"/>
  <c r="C17" i="8"/>
  <c r="J11" i="6"/>
  <c r="L11" i="6" s="1"/>
  <c r="E18" i="8"/>
  <c r="C12" i="6"/>
  <c r="E12" i="6" s="1"/>
  <c r="Y20" i="27"/>
  <c r="I9" i="40" s="1"/>
  <c r="K24" i="5"/>
  <c r="L23" i="5"/>
  <c r="J24" i="5" s="1"/>
  <c r="E26" i="5"/>
  <c r="D22" i="5"/>
  <c r="D22" i="9"/>
  <c r="D22" i="8"/>
  <c r="Z26" i="5"/>
  <c r="B37" i="5"/>
  <c r="C36" i="5"/>
  <c r="N14" i="10"/>
  <c r="M22" i="5"/>
  <c r="M21" i="27"/>
  <c r="Y21" i="5"/>
  <c r="N30" i="27"/>
  <c r="O29" i="27"/>
  <c r="J23" i="27"/>
  <c r="J24" i="19"/>
  <c r="G22" i="19"/>
  <c r="G21" i="27"/>
  <c r="O13" i="10"/>
  <c r="U13" i="10"/>
  <c r="Y21" i="19"/>
  <c r="I8" i="40"/>
  <c r="K13" i="39"/>
  <c r="V26" i="19"/>
  <c r="V25" i="27"/>
  <c r="M25" i="19"/>
  <c r="V29" i="5"/>
  <c r="W29" i="5"/>
  <c r="X28" i="5"/>
  <c r="T29" i="5"/>
  <c r="U28" i="5"/>
  <c r="S25" i="5"/>
  <c r="S24" i="27"/>
  <c r="P24" i="5"/>
  <c r="P23" i="27"/>
  <c r="G24" i="5"/>
  <c r="C22" i="28"/>
  <c r="B23" i="28"/>
  <c r="AD28" i="28"/>
  <c r="AR27" i="29"/>
  <c r="V26" i="29"/>
  <c r="B23" i="29"/>
  <c r="C22" i="29"/>
  <c r="U21" i="29"/>
  <c r="AJ23" i="29"/>
  <c r="AA23" i="34"/>
  <c r="AL23" i="29" s="1"/>
  <c r="Z26" i="34"/>
  <c r="W29" i="34"/>
  <c r="V23" i="34"/>
  <c r="AD22" i="29"/>
  <c r="U22" i="34"/>
  <c r="AF22" i="29" s="1"/>
  <c r="T26" i="34"/>
  <c r="Q29" i="34"/>
  <c r="P24" i="34"/>
  <c r="O25" i="34"/>
  <c r="M26" i="34" s="1"/>
  <c r="N29" i="34"/>
  <c r="J25" i="34"/>
  <c r="L24" i="34"/>
  <c r="K29" i="34"/>
  <c r="H25" i="34"/>
  <c r="D25" i="34"/>
  <c r="E26" i="34"/>
  <c r="F24" i="34"/>
  <c r="AF20" i="34"/>
  <c r="V25" i="36"/>
  <c r="X24" i="36"/>
  <c r="W27" i="36"/>
  <c r="S24" i="36"/>
  <c r="T27" i="36"/>
  <c r="Q29" i="36"/>
  <c r="P24" i="36"/>
  <c r="M25" i="28"/>
  <c r="O25" i="28" s="1"/>
  <c r="O25" i="36"/>
  <c r="M26" i="36" s="1"/>
  <c r="N29" i="36"/>
  <c r="J25" i="28"/>
  <c r="L25" i="28" s="1"/>
  <c r="L25" i="36"/>
  <c r="J26" i="36" s="1"/>
  <c r="K28" i="36"/>
  <c r="H26" i="36"/>
  <c r="E26" i="36"/>
  <c r="D22" i="36"/>
  <c r="X24" i="28"/>
  <c r="AH20" i="36"/>
  <c r="W29" i="19"/>
  <c r="X28" i="19"/>
  <c r="T28" i="19"/>
  <c r="U27" i="19"/>
  <c r="S28" i="19" s="1"/>
  <c r="Q28" i="19"/>
  <c r="R27" i="19"/>
  <c r="P28" i="19" s="1"/>
  <c r="N28" i="19"/>
  <c r="O27" i="19"/>
  <c r="K27" i="19"/>
  <c r="L26" i="19"/>
  <c r="H25" i="19"/>
  <c r="I24" i="19"/>
  <c r="F24" i="19"/>
  <c r="D25" i="19" s="1"/>
  <c r="E25" i="19"/>
  <c r="K14" i="10"/>
  <c r="I14" i="10"/>
  <c r="E49" i="10"/>
  <c r="K14" i="39"/>
  <c r="E15" i="10"/>
  <c r="D15" i="39"/>
  <c r="U14" i="10"/>
  <c r="O14" i="10"/>
  <c r="P39" i="20" l="1"/>
  <c r="J40" i="20"/>
  <c r="G23" i="20"/>
  <c r="P22" i="20"/>
  <c r="J40" i="18"/>
  <c r="P39" i="18"/>
  <c r="G23" i="18"/>
  <c r="P22" i="18"/>
  <c r="Y19" i="28"/>
  <c r="J8" i="40" s="1"/>
  <c r="X8" i="40"/>
  <c r="O8" i="40"/>
  <c r="AB22" i="34"/>
  <c r="I22" i="34"/>
  <c r="AD22" i="34" s="1"/>
  <c r="G23" i="34"/>
  <c r="P8" i="40"/>
  <c r="Y8" i="40"/>
  <c r="P7" i="40"/>
  <c r="D15" i="10"/>
  <c r="D22" i="26"/>
  <c r="AA21" i="22"/>
  <c r="Y22" i="22" s="1"/>
  <c r="AB22" i="22"/>
  <c r="M15" i="10"/>
  <c r="T15" i="10"/>
  <c r="P22" i="26"/>
  <c r="L16" i="10" s="1"/>
  <c r="G23" i="26"/>
  <c r="P20" i="29"/>
  <c r="X20" i="29"/>
  <c r="H26" i="35"/>
  <c r="L9" i="40"/>
  <c r="M14" i="39"/>
  <c r="AQ20" i="29"/>
  <c r="M9" i="40" s="1"/>
  <c r="AH20" i="35"/>
  <c r="AF21" i="35" s="1"/>
  <c r="AD20" i="35"/>
  <c r="I20" i="29"/>
  <c r="G21" i="35"/>
  <c r="G20" i="36"/>
  <c r="G20" i="28" s="1"/>
  <c r="Y20" i="17"/>
  <c r="I20" i="17"/>
  <c r="G21" i="17" s="1"/>
  <c r="E7" i="40"/>
  <c r="E12" i="39"/>
  <c r="F12" i="10"/>
  <c r="J12" i="10" s="1"/>
  <c r="L13" i="39"/>
  <c r="P13" i="10"/>
  <c r="H25" i="17"/>
  <c r="AC20" i="28"/>
  <c r="K9" i="40" s="1"/>
  <c r="AE20" i="17"/>
  <c r="AC21" i="17" s="1"/>
  <c r="AA19" i="17"/>
  <c r="I19" i="28"/>
  <c r="C18" i="8"/>
  <c r="J12" i="6"/>
  <c r="L12" i="6" s="1"/>
  <c r="L18" i="8"/>
  <c r="R18" i="8"/>
  <c r="X18" i="8"/>
  <c r="F22" i="5"/>
  <c r="AA22" i="5" s="1"/>
  <c r="Y22" i="5"/>
  <c r="Y21" i="27"/>
  <c r="I10" i="40" s="1"/>
  <c r="M23" i="5"/>
  <c r="M22" i="27"/>
  <c r="Z27" i="5"/>
  <c r="D23" i="9"/>
  <c r="D23" i="8"/>
  <c r="C37" i="5"/>
  <c r="B38" i="5"/>
  <c r="L24" i="5"/>
  <c r="J25" i="5" s="1"/>
  <c r="K25" i="5"/>
  <c r="N15" i="10"/>
  <c r="O15" i="10" s="1"/>
  <c r="E27" i="5"/>
  <c r="N31" i="27"/>
  <c r="O30" i="27"/>
  <c r="J24" i="27"/>
  <c r="J25" i="19"/>
  <c r="G22" i="27"/>
  <c r="G23" i="19"/>
  <c r="V27" i="19"/>
  <c r="V26" i="27"/>
  <c r="M26" i="19"/>
  <c r="W30" i="5"/>
  <c r="X29" i="5"/>
  <c r="V30" i="5" s="1"/>
  <c r="T30" i="5"/>
  <c r="U29" i="5"/>
  <c r="S26" i="5"/>
  <c r="S25" i="27"/>
  <c r="P25" i="5"/>
  <c r="P24" i="27"/>
  <c r="G25" i="5"/>
  <c r="C23" i="28"/>
  <c r="B24" i="28"/>
  <c r="AD29" i="28"/>
  <c r="AR28" i="29"/>
  <c r="W21" i="29"/>
  <c r="V27" i="29"/>
  <c r="B24" i="29"/>
  <c r="C23" i="29"/>
  <c r="Z27" i="34"/>
  <c r="Y24" i="34"/>
  <c r="W30" i="34"/>
  <c r="AG23" i="29"/>
  <c r="X23" i="34"/>
  <c r="AI23" i="29" s="1"/>
  <c r="T27" i="34"/>
  <c r="S23" i="34"/>
  <c r="AA24" i="29"/>
  <c r="R24" i="34"/>
  <c r="AC24" i="29" s="1"/>
  <c r="Q30" i="34"/>
  <c r="O26" i="34"/>
  <c r="M27" i="34" s="1"/>
  <c r="N30" i="34"/>
  <c r="J26" i="34"/>
  <c r="L25" i="34"/>
  <c r="K30" i="34"/>
  <c r="H26" i="34"/>
  <c r="D26" i="34"/>
  <c r="E27" i="34"/>
  <c r="F25" i="34"/>
  <c r="M24" i="29"/>
  <c r="O24" i="29"/>
  <c r="J23" i="29"/>
  <c r="L23" i="29"/>
  <c r="AH20" i="34"/>
  <c r="AF21" i="34" s="1"/>
  <c r="X25" i="36"/>
  <c r="V26" i="36" s="1"/>
  <c r="V25" i="28"/>
  <c r="W28" i="36"/>
  <c r="T28" i="36"/>
  <c r="S25" i="36"/>
  <c r="S24" i="28"/>
  <c r="U24" i="36"/>
  <c r="U24" i="28" s="1"/>
  <c r="P24" i="28"/>
  <c r="R24" i="36"/>
  <c r="R24" i="28" s="1"/>
  <c r="Q30" i="36"/>
  <c r="M26" i="28"/>
  <c r="O26" i="28" s="1"/>
  <c r="O26" i="36"/>
  <c r="M27" i="36" s="1"/>
  <c r="N30" i="36"/>
  <c r="J26" i="28"/>
  <c r="L26" i="28" s="1"/>
  <c r="L26" i="36"/>
  <c r="J27" i="36" s="1"/>
  <c r="K29" i="36"/>
  <c r="H27" i="36"/>
  <c r="F22" i="36"/>
  <c r="E27" i="36"/>
  <c r="X25" i="28"/>
  <c r="AF21" i="36"/>
  <c r="W30" i="19"/>
  <c r="X29" i="19"/>
  <c r="U28" i="19"/>
  <c r="S29" i="19" s="1"/>
  <c r="T29" i="19"/>
  <c r="Q29" i="19"/>
  <c r="R28" i="19"/>
  <c r="P29" i="19" s="1"/>
  <c r="N29" i="19"/>
  <c r="O28" i="19"/>
  <c r="K28" i="19"/>
  <c r="L27" i="19"/>
  <c r="H26" i="19"/>
  <c r="I25" i="19"/>
  <c r="F25" i="19"/>
  <c r="D26" i="19" s="1"/>
  <c r="E26" i="19"/>
  <c r="I49" i="10"/>
  <c r="K15" i="39"/>
  <c r="Y22" i="19"/>
  <c r="AA22" i="27"/>
  <c r="D11" i="40" s="1"/>
  <c r="V11" i="40" s="1"/>
  <c r="AA22" i="19"/>
  <c r="K15" i="10"/>
  <c r="I15" i="10"/>
  <c r="K49" i="10"/>
  <c r="J41" i="20" l="1"/>
  <c r="P40" i="20"/>
  <c r="P23" i="20"/>
  <c r="G24" i="20"/>
  <c r="J41" i="18"/>
  <c r="P40" i="18"/>
  <c r="P23" i="18"/>
  <c r="G24" i="18"/>
  <c r="W7" i="40"/>
  <c r="N7" i="40"/>
  <c r="AB23" i="34"/>
  <c r="I23" i="34"/>
  <c r="AD23" i="34" s="1"/>
  <c r="G24" i="34"/>
  <c r="F22" i="26"/>
  <c r="R22" i="26" s="1"/>
  <c r="AA22" i="22"/>
  <c r="Y23" i="22" s="1"/>
  <c r="AD22" i="22"/>
  <c r="AB23" i="22" s="1"/>
  <c r="T16" i="10"/>
  <c r="M16" i="10"/>
  <c r="G24" i="26"/>
  <c r="AB21" i="35"/>
  <c r="AM21" i="29" s="1"/>
  <c r="I21" i="35"/>
  <c r="G21" i="29"/>
  <c r="Z20" i="29"/>
  <c r="R20" i="29"/>
  <c r="H27" i="35"/>
  <c r="AO20" i="29"/>
  <c r="AQ21" i="29"/>
  <c r="M10" i="40" s="1"/>
  <c r="AH21" i="35"/>
  <c r="AS21" i="29" s="1"/>
  <c r="H10" i="40" s="1"/>
  <c r="AS20" i="29"/>
  <c r="H9" i="40" s="1"/>
  <c r="Z9" i="40" s="1"/>
  <c r="AB20" i="36"/>
  <c r="Y20" i="28" s="1"/>
  <c r="J9" i="40" s="1"/>
  <c r="I20" i="36"/>
  <c r="AD20" i="36" s="1"/>
  <c r="AC21" i="28"/>
  <c r="K10" i="40" s="1"/>
  <c r="AE21" i="17"/>
  <c r="Y21" i="17"/>
  <c r="I21" i="17"/>
  <c r="AA19" i="28"/>
  <c r="H26" i="17"/>
  <c r="AA20" i="17"/>
  <c r="AE20" i="28"/>
  <c r="F9" i="40" s="1"/>
  <c r="V13" i="10"/>
  <c r="Q13" i="10"/>
  <c r="C13" i="6"/>
  <c r="E13" i="6" s="1"/>
  <c r="E19" i="8"/>
  <c r="K26" i="5"/>
  <c r="L25" i="5"/>
  <c r="J26" i="5" s="1"/>
  <c r="M24" i="5"/>
  <c r="M23" i="27"/>
  <c r="D23" i="5"/>
  <c r="E28" i="5"/>
  <c r="U15" i="10"/>
  <c r="C38" i="5"/>
  <c r="B39" i="5"/>
  <c r="Z28" i="5"/>
  <c r="D24" i="9"/>
  <c r="D24" i="8"/>
  <c r="C19" i="8"/>
  <c r="J13" i="6"/>
  <c r="L13" i="6" s="1"/>
  <c r="N32" i="27"/>
  <c r="O31" i="27"/>
  <c r="J25" i="27"/>
  <c r="J26" i="19"/>
  <c r="G24" i="19"/>
  <c r="G23" i="27"/>
  <c r="V28" i="19"/>
  <c r="V27" i="27"/>
  <c r="M27" i="19"/>
  <c r="W31" i="5"/>
  <c r="X30" i="5"/>
  <c r="V31" i="5" s="1"/>
  <c r="S27" i="5"/>
  <c r="S26" i="27"/>
  <c r="T31" i="5"/>
  <c r="U30" i="5"/>
  <c r="P26" i="5"/>
  <c r="P25" i="27"/>
  <c r="G26" i="5"/>
  <c r="B25" i="28"/>
  <c r="C24" i="28"/>
  <c r="AD30" i="28"/>
  <c r="AR29" i="29"/>
  <c r="V28" i="29"/>
  <c r="C24" i="29"/>
  <c r="B25" i="29"/>
  <c r="U22" i="29"/>
  <c r="AJ24" i="29"/>
  <c r="AA24" i="34"/>
  <c r="AL24" i="29" s="1"/>
  <c r="Z28" i="34"/>
  <c r="V24" i="34"/>
  <c r="W31" i="34"/>
  <c r="AD23" i="29"/>
  <c r="U23" i="34"/>
  <c r="AF23" i="29" s="1"/>
  <c r="T28" i="34"/>
  <c r="Q31" i="34"/>
  <c r="P25" i="34"/>
  <c r="O27" i="34"/>
  <c r="M28" i="34" s="1"/>
  <c r="N31" i="34"/>
  <c r="K31" i="34"/>
  <c r="J27" i="34"/>
  <c r="L26" i="34"/>
  <c r="H27" i="34"/>
  <c r="D27" i="34"/>
  <c r="F26" i="34"/>
  <c r="E28" i="34"/>
  <c r="AH21" i="34"/>
  <c r="AF22" i="34" s="1"/>
  <c r="X26" i="36"/>
  <c r="V27" i="36" s="1"/>
  <c r="V26" i="28"/>
  <c r="W29" i="36"/>
  <c r="S25" i="28"/>
  <c r="U25" i="36"/>
  <c r="U25" i="28" s="1"/>
  <c r="T29" i="36"/>
  <c r="Q31" i="36"/>
  <c r="P25" i="36"/>
  <c r="M27" i="28"/>
  <c r="O27" i="28" s="1"/>
  <c r="O27" i="36"/>
  <c r="M28" i="36" s="1"/>
  <c r="N31" i="36"/>
  <c r="J27" i="28"/>
  <c r="L27" i="28" s="1"/>
  <c r="L27" i="36"/>
  <c r="J28" i="36" s="1"/>
  <c r="K30" i="36"/>
  <c r="H28" i="36"/>
  <c r="D23" i="36"/>
  <c r="E28" i="36"/>
  <c r="X26" i="28"/>
  <c r="AH21" i="36"/>
  <c r="AF22" i="36" s="1"/>
  <c r="X30" i="19"/>
  <c r="W31" i="19"/>
  <c r="S30" i="19"/>
  <c r="U29" i="19"/>
  <c r="T30" i="19"/>
  <c r="R29" i="19"/>
  <c r="P30" i="19" s="1"/>
  <c r="Q30" i="19"/>
  <c r="O29" i="19"/>
  <c r="N30" i="19"/>
  <c r="L28" i="19"/>
  <c r="K29" i="19"/>
  <c r="I26" i="19"/>
  <c r="H27" i="19"/>
  <c r="E27" i="19"/>
  <c r="F26" i="19"/>
  <c r="D27" i="19" s="1"/>
  <c r="N16" i="10"/>
  <c r="Y22" i="27"/>
  <c r="I11" i="40" s="1"/>
  <c r="E16" i="10"/>
  <c r="D16" i="39"/>
  <c r="P41" i="20" l="1"/>
  <c r="J42" i="20"/>
  <c r="P24" i="20"/>
  <c r="G25" i="20"/>
  <c r="P41" i="18"/>
  <c r="J42" i="18"/>
  <c r="G25" i="18"/>
  <c r="P24" i="18"/>
  <c r="X9" i="40"/>
  <c r="O9" i="40"/>
  <c r="AB24" i="34"/>
  <c r="I24" i="34"/>
  <c r="AD24" i="34" s="1"/>
  <c r="G25" i="34"/>
  <c r="Q10" i="40"/>
  <c r="Z10" i="40"/>
  <c r="Q9" i="40"/>
  <c r="D23" i="26"/>
  <c r="D16" i="10"/>
  <c r="AD23" i="22"/>
  <c r="AB24" i="22" s="1"/>
  <c r="AA23" i="22"/>
  <c r="Y24" i="22" s="1"/>
  <c r="G25" i="26"/>
  <c r="H28" i="35"/>
  <c r="AD21" i="35"/>
  <c r="I21" i="29"/>
  <c r="L10" i="40"/>
  <c r="M15" i="39"/>
  <c r="X21" i="29"/>
  <c r="P21" i="29"/>
  <c r="AF22" i="35"/>
  <c r="G9" i="40"/>
  <c r="Y9" i="40" s="1"/>
  <c r="F14" i="39"/>
  <c r="G22" i="35"/>
  <c r="L14" i="39"/>
  <c r="P14" i="10"/>
  <c r="Q14" i="10" s="1"/>
  <c r="AA20" i="28"/>
  <c r="F14" i="10" s="1"/>
  <c r="G21" i="36"/>
  <c r="AE21" i="28"/>
  <c r="F10" i="40" s="1"/>
  <c r="I20" i="28"/>
  <c r="H27" i="17"/>
  <c r="E8" i="40"/>
  <c r="F13" i="10"/>
  <c r="J13" i="10" s="1"/>
  <c r="E13" i="39"/>
  <c r="AC22" i="17"/>
  <c r="AA21" i="17"/>
  <c r="G22" i="17"/>
  <c r="L19" i="8"/>
  <c r="R19" i="8"/>
  <c r="X19" i="8"/>
  <c r="D25" i="9"/>
  <c r="D25" i="8"/>
  <c r="Z29" i="5"/>
  <c r="M25" i="5"/>
  <c r="M24" i="27"/>
  <c r="B40" i="5"/>
  <c r="C39" i="5"/>
  <c r="E29" i="5"/>
  <c r="D24" i="5"/>
  <c r="F23" i="5"/>
  <c r="AA23" i="5" s="1"/>
  <c r="Y23" i="5"/>
  <c r="K27" i="5"/>
  <c r="L26" i="5"/>
  <c r="J27" i="5" s="1"/>
  <c r="N33" i="27"/>
  <c r="O32" i="27"/>
  <c r="J27" i="19"/>
  <c r="J26" i="27"/>
  <c r="G24" i="27"/>
  <c r="G25" i="19"/>
  <c r="V29" i="19"/>
  <c r="V28" i="27"/>
  <c r="M28" i="19"/>
  <c r="X31" i="5"/>
  <c r="V32" i="5" s="1"/>
  <c r="W32" i="5"/>
  <c r="T32" i="5"/>
  <c r="U31" i="5"/>
  <c r="S28" i="5"/>
  <c r="S27" i="27"/>
  <c r="P27" i="5"/>
  <c r="P26" i="27"/>
  <c r="G27" i="5"/>
  <c r="C25" i="28"/>
  <c r="B26" i="28"/>
  <c r="AD31" i="28"/>
  <c r="AR30" i="29"/>
  <c r="W22" i="29"/>
  <c r="U23" i="29" s="1"/>
  <c r="B26" i="29"/>
  <c r="C25" i="29"/>
  <c r="V29" i="29"/>
  <c r="Z29" i="34"/>
  <c r="Y25" i="34"/>
  <c r="AG24" i="29"/>
  <c r="X24" i="34"/>
  <c r="AI24" i="29" s="1"/>
  <c r="W32" i="34"/>
  <c r="T29" i="34"/>
  <c r="S24" i="34"/>
  <c r="AA25" i="29"/>
  <c r="R25" i="34"/>
  <c r="AC25" i="29" s="1"/>
  <c r="Q32" i="34"/>
  <c r="O28" i="34"/>
  <c r="M29" i="34" s="1"/>
  <c r="N32" i="34"/>
  <c r="L27" i="34"/>
  <c r="J28" i="34" s="1"/>
  <c r="K32" i="34"/>
  <c r="H28" i="34"/>
  <c r="D28" i="34"/>
  <c r="F27" i="34"/>
  <c r="E29" i="34"/>
  <c r="M25" i="29"/>
  <c r="O25" i="29"/>
  <c r="J24" i="29"/>
  <c r="L24" i="29"/>
  <c r="AH22" i="34"/>
  <c r="AF23" i="34" s="1"/>
  <c r="X27" i="36"/>
  <c r="V28" i="36" s="1"/>
  <c r="V27" i="28"/>
  <c r="W30" i="36"/>
  <c r="T30" i="36"/>
  <c r="S26" i="36"/>
  <c r="Q32" i="36"/>
  <c r="P26" i="36"/>
  <c r="P25" i="28"/>
  <c r="R25" i="36"/>
  <c r="R25" i="28" s="1"/>
  <c r="M28" i="28"/>
  <c r="O28" i="28" s="1"/>
  <c r="O28" i="36"/>
  <c r="M29" i="36" s="1"/>
  <c r="N32" i="36"/>
  <c r="J28" i="28"/>
  <c r="L28" i="28" s="1"/>
  <c r="L28" i="36"/>
  <c r="J29" i="36" s="1"/>
  <c r="K31" i="36"/>
  <c r="H29" i="36"/>
  <c r="F23" i="36"/>
  <c r="E29" i="36"/>
  <c r="X27" i="28"/>
  <c r="AH22" i="36"/>
  <c r="AF23" i="36" s="1"/>
  <c r="X31" i="19"/>
  <c r="W32" i="19"/>
  <c r="T31" i="19"/>
  <c r="U30" i="19"/>
  <c r="S31" i="19" s="1"/>
  <c r="P31" i="19"/>
  <c r="R30" i="19"/>
  <c r="Q31" i="19"/>
  <c r="O30" i="19"/>
  <c r="N31" i="19"/>
  <c r="L29" i="19"/>
  <c r="K30" i="19"/>
  <c r="I27" i="19"/>
  <c r="H28" i="19"/>
  <c r="E28" i="19"/>
  <c r="F27" i="19"/>
  <c r="D28" i="19" s="1"/>
  <c r="Y23" i="19"/>
  <c r="AA23" i="27"/>
  <c r="D12" i="40" s="1"/>
  <c r="V12" i="40" s="1"/>
  <c r="AA23" i="19"/>
  <c r="O16" i="10"/>
  <c r="U16" i="10"/>
  <c r="K16" i="10"/>
  <c r="I16" i="10"/>
  <c r="K16" i="39"/>
  <c r="J43" i="20" l="1"/>
  <c r="P42" i="20"/>
  <c r="G26" i="20"/>
  <c r="P25" i="20"/>
  <c r="P42" i="18"/>
  <c r="J43" i="18"/>
  <c r="G26" i="18"/>
  <c r="P25" i="18"/>
  <c r="W8" i="40"/>
  <c r="N8" i="40"/>
  <c r="X10" i="40"/>
  <c r="O10" i="40"/>
  <c r="AB25" i="34"/>
  <c r="I25" i="34"/>
  <c r="P9" i="40"/>
  <c r="F23" i="26"/>
  <c r="R23" i="26" s="1"/>
  <c r="P23" i="26"/>
  <c r="L17" i="10" s="1"/>
  <c r="AA24" i="22"/>
  <c r="Y25" i="22"/>
  <c r="AD24" i="22"/>
  <c r="AB25" i="22"/>
  <c r="G26" i="26"/>
  <c r="V14" i="10"/>
  <c r="E14" i="39"/>
  <c r="E9" i="40"/>
  <c r="N9" i="40" s="1"/>
  <c r="R21" i="29"/>
  <c r="Z21" i="29"/>
  <c r="AO21" i="29"/>
  <c r="AQ22" i="29"/>
  <c r="M11" i="40" s="1"/>
  <c r="AH22" i="35"/>
  <c r="AF23" i="35" s="1"/>
  <c r="H29" i="35"/>
  <c r="AB22" i="35"/>
  <c r="AM22" i="29" s="1"/>
  <c r="I22" i="35"/>
  <c r="G23" i="35" s="1"/>
  <c r="G22" i="29"/>
  <c r="AB21" i="36"/>
  <c r="Y21" i="28" s="1"/>
  <c r="J10" i="40" s="1"/>
  <c r="I21" i="36"/>
  <c r="G22" i="36" s="1"/>
  <c r="G21" i="28"/>
  <c r="AC22" i="28"/>
  <c r="K11" i="40" s="1"/>
  <c r="AE22" i="17"/>
  <c r="Y22" i="17"/>
  <c r="I22" i="17"/>
  <c r="F49" i="10"/>
  <c r="J14" i="10"/>
  <c r="J49" i="10" s="1"/>
  <c r="H28" i="17"/>
  <c r="J14" i="6"/>
  <c r="L14" i="6" s="1"/>
  <c r="C20" i="8"/>
  <c r="E30" i="5"/>
  <c r="M26" i="5"/>
  <c r="M25" i="27"/>
  <c r="C14" i="6"/>
  <c r="E14" i="6" s="1"/>
  <c r="E20" i="8"/>
  <c r="Z30" i="5"/>
  <c r="D26" i="9"/>
  <c r="D26" i="8"/>
  <c r="F24" i="5"/>
  <c r="AA24" i="5" s="1"/>
  <c r="Y24" i="5"/>
  <c r="C40" i="5"/>
  <c r="B41" i="5"/>
  <c r="K28" i="5"/>
  <c r="L27" i="5"/>
  <c r="J28" i="5" s="1"/>
  <c r="N34" i="27"/>
  <c r="O33" i="27"/>
  <c r="AA33" i="27" s="1"/>
  <c r="J27" i="27"/>
  <c r="J28" i="19"/>
  <c r="G25" i="27"/>
  <c r="G26" i="19"/>
  <c r="V29" i="27"/>
  <c r="V30" i="19"/>
  <c r="M29" i="19"/>
  <c r="W33" i="5"/>
  <c r="X32" i="5"/>
  <c r="V33" i="5" s="1"/>
  <c r="T33" i="5"/>
  <c r="U32" i="5"/>
  <c r="S29" i="5"/>
  <c r="S28" i="27"/>
  <c r="P28" i="5"/>
  <c r="P27" i="27"/>
  <c r="G28" i="5"/>
  <c r="C26" i="28"/>
  <c r="B27" i="28"/>
  <c r="AD32" i="28"/>
  <c r="AR31" i="29"/>
  <c r="W23" i="29"/>
  <c r="U24" i="29" s="1"/>
  <c r="B27" i="29"/>
  <c r="C26" i="29"/>
  <c r="V30" i="29"/>
  <c r="Z30" i="34"/>
  <c r="AJ25" i="29"/>
  <c r="AA25" i="34"/>
  <c r="AL25" i="29" s="1"/>
  <c r="W33" i="34"/>
  <c r="V25" i="34"/>
  <c r="AD24" i="29"/>
  <c r="U24" i="34"/>
  <c r="AF24" i="29" s="1"/>
  <c r="T30" i="34"/>
  <c r="Q33" i="34"/>
  <c r="P26" i="34"/>
  <c r="O29" i="34"/>
  <c r="M30" i="34" s="1"/>
  <c r="N33" i="34"/>
  <c r="J29" i="34"/>
  <c r="L28" i="34"/>
  <c r="K33" i="34"/>
  <c r="H29" i="34"/>
  <c r="E30" i="34"/>
  <c r="F28" i="34"/>
  <c r="D29" i="34" s="1"/>
  <c r="J25" i="29"/>
  <c r="L25" i="29"/>
  <c r="AH23" i="34"/>
  <c r="AF24" i="34" s="1"/>
  <c r="X28" i="36"/>
  <c r="V29" i="36" s="1"/>
  <c r="W31" i="36"/>
  <c r="S26" i="28"/>
  <c r="U26" i="36"/>
  <c r="U26" i="28" s="1"/>
  <c r="T31" i="36"/>
  <c r="P26" i="28"/>
  <c r="R26" i="36"/>
  <c r="R26" i="28" s="1"/>
  <c r="Q33" i="36"/>
  <c r="M29" i="28"/>
  <c r="O29" i="28" s="1"/>
  <c r="O29" i="36"/>
  <c r="M30" i="36" s="1"/>
  <c r="N33" i="36"/>
  <c r="J29" i="28"/>
  <c r="L29" i="28" s="1"/>
  <c r="L29" i="36"/>
  <c r="J30" i="36" s="1"/>
  <c r="K32" i="36"/>
  <c r="H30" i="36"/>
  <c r="E30" i="36"/>
  <c r="D24" i="36"/>
  <c r="V28" i="28"/>
  <c r="AH23" i="36"/>
  <c r="AF24" i="36" s="1"/>
  <c r="W33" i="19"/>
  <c r="X32" i="19"/>
  <c r="U31" i="19"/>
  <c r="S32" i="19" s="1"/>
  <c r="T32" i="19"/>
  <c r="Q32" i="19"/>
  <c r="R31" i="19"/>
  <c r="P32" i="19" s="1"/>
  <c r="N32" i="19"/>
  <c r="O31" i="19"/>
  <c r="K31" i="19"/>
  <c r="L30" i="19"/>
  <c r="H29" i="19"/>
  <c r="I28" i="19"/>
  <c r="F28" i="19"/>
  <c r="D29" i="19" s="1"/>
  <c r="E29" i="19"/>
  <c r="D17" i="39"/>
  <c r="E17" i="10"/>
  <c r="Y23" i="27"/>
  <c r="I12" i="40" s="1"/>
  <c r="N17" i="10"/>
  <c r="P43" i="20" l="1"/>
  <c r="J44" i="20"/>
  <c r="G27" i="20"/>
  <c r="P26" i="20"/>
  <c r="P43" i="18"/>
  <c r="J44" i="18"/>
  <c r="P26" i="18"/>
  <c r="G27" i="18"/>
  <c r="AD25" i="34"/>
  <c r="G26" i="34"/>
  <c r="W9" i="40"/>
  <c r="D24" i="26"/>
  <c r="F24" i="26"/>
  <c r="R24" i="26" s="1"/>
  <c r="D18" i="10" s="1"/>
  <c r="D25" i="26"/>
  <c r="P24" i="26"/>
  <c r="L18" i="10" s="1"/>
  <c r="T17" i="10"/>
  <c r="M17" i="10"/>
  <c r="D17" i="10"/>
  <c r="AA25" i="22"/>
  <c r="Y26" i="22" s="1"/>
  <c r="AD25" i="22"/>
  <c r="AB26" i="22"/>
  <c r="G27" i="26"/>
  <c r="L11" i="40"/>
  <c r="M16" i="39"/>
  <c r="AS22" i="29"/>
  <c r="H11" i="40" s="1"/>
  <c r="Z11" i="40" s="1"/>
  <c r="G10" i="40"/>
  <c r="Y10" i="40" s="1"/>
  <c r="F15" i="39"/>
  <c r="AB23" i="35"/>
  <c r="AM23" i="29" s="1"/>
  <c r="L12" i="40" s="1"/>
  <c r="I23" i="35"/>
  <c r="AD23" i="35" s="1"/>
  <c r="AO23" i="29" s="1"/>
  <c r="G12" i="40" s="1"/>
  <c r="Y12" i="40" s="1"/>
  <c r="G23" i="29"/>
  <c r="P23" i="29" s="1"/>
  <c r="X22" i="29"/>
  <c r="P22" i="29"/>
  <c r="H30" i="35"/>
  <c r="AQ23" i="29"/>
  <c r="M12" i="40" s="1"/>
  <c r="AH23" i="35"/>
  <c r="AS23" i="29" s="1"/>
  <c r="H12" i="40" s="1"/>
  <c r="AD22" i="35"/>
  <c r="I22" i="29"/>
  <c r="AD21" i="36"/>
  <c r="AA21" i="28" s="1"/>
  <c r="F15" i="10" s="1"/>
  <c r="J15" i="10" s="1"/>
  <c r="I21" i="28"/>
  <c r="AB22" i="36"/>
  <c r="Y22" i="28" s="1"/>
  <c r="J11" i="40" s="1"/>
  <c r="I22" i="36"/>
  <c r="AD22" i="36" s="1"/>
  <c r="G22" i="28"/>
  <c r="P15" i="10"/>
  <c r="L15" i="39"/>
  <c r="H29" i="17"/>
  <c r="AA22" i="17"/>
  <c r="AE22" i="28"/>
  <c r="F11" i="40" s="1"/>
  <c r="G23" i="17"/>
  <c r="AC23" i="17"/>
  <c r="E31" i="5"/>
  <c r="C21" i="8"/>
  <c r="J15" i="6"/>
  <c r="L15" i="6" s="1"/>
  <c r="L28" i="5"/>
  <c r="J29" i="5" s="1"/>
  <c r="K29" i="5"/>
  <c r="E21" i="8"/>
  <c r="C15" i="6"/>
  <c r="E15" i="6" s="1"/>
  <c r="Z31" i="5"/>
  <c r="D27" i="9"/>
  <c r="D27" i="8"/>
  <c r="M27" i="5"/>
  <c r="M26" i="27"/>
  <c r="C41" i="5"/>
  <c r="B42" i="5"/>
  <c r="D25" i="5"/>
  <c r="L20" i="8"/>
  <c r="R20" i="8"/>
  <c r="X20" i="8"/>
  <c r="E27" i="10"/>
  <c r="I27" i="10" s="1"/>
  <c r="D22" i="40"/>
  <c r="V22" i="40" s="1"/>
  <c r="D27" i="39"/>
  <c r="N35" i="27"/>
  <c r="O34" i="27"/>
  <c r="AA34" i="27" s="1"/>
  <c r="J29" i="19"/>
  <c r="J28" i="27"/>
  <c r="G27" i="19"/>
  <c r="G26" i="27"/>
  <c r="V31" i="19"/>
  <c r="V30" i="27"/>
  <c r="M30" i="19"/>
  <c r="W34" i="5"/>
  <c r="X33" i="5"/>
  <c r="V34" i="5" s="1"/>
  <c r="U33" i="5"/>
  <c r="T34" i="5"/>
  <c r="S30" i="5"/>
  <c r="S29" i="27"/>
  <c r="P29" i="5"/>
  <c r="P28" i="27"/>
  <c r="G29" i="5"/>
  <c r="B28" i="28"/>
  <c r="C27" i="28"/>
  <c r="AD33" i="28"/>
  <c r="AR32" i="29"/>
  <c r="W24" i="29"/>
  <c r="U25" i="29" s="1"/>
  <c r="B28" i="29"/>
  <c r="C27" i="29"/>
  <c r="V31" i="29"/>
  <c r="Z31" i="34"/>
  <c r="Y26" i="34"/>
  <c r="W34" i="34"/>
  <c r="AG25" i="29"/>
  <c r="X25" i="34"/>
  <c r="AI25" i="29" s="1"/>
  <c r="T31" i="34"/>
  <c r="S25" i="34"/>
  <c r="AA26" i="29"/>
  <c r="R26" i="34"/>
  <c r="AC26" i="29" s="1"/>
  <c r="Q34" i="34"/>
  <c r="O30" i="34"/>
  <c r="M31" i="34" s="1"/>
  <c r="N34" i="34"/>
  <c r="L29" i="34"/>
  <c r="J30" i="34" s="1"/>
  <c r="K34" i="34"/>
  <c r="H30" i="34"/>
  <c r="F29" i="34"/>
  <c r="D30" i="34" s="1"/>
  <c r="E31" i="34"/>
  <c r="M26" i="29"/>
  <c r="O26" i="29"/>
  <c r="AH24" i="34"/>
  <c r="AF25" i="34" s="1"/>
  <c r="X29" i="36"/>
  <c r="V30" i="36" s="1"/>
  <c r="W32" i="36"/>
  <c r="S27" i="36"/>
  <c r="T32" i="36"/>
  <c r="Q34" i="36"/>
  <c r="P27" i="36"/>
  <c r="M30" i="28"/>
  <c r="O30" i="28" s="1"/>
  <c r="O30" i="36"/>
  <c r="M31" i="36" s="1"/>
  <c r="N34" i="36"/>
  <c r="J30" i="28"/>
  <c r="L30" i="28" s="1"/>
  <c r="L30" i="36"/>
  <c r="J31" i="36" s="1"/>
  <c r="K33" i="36"/>
  <c r="H31" i="36"/>
  <c r="F24" i="36"/>
  <c r="E31" i="36"/>
  <c r="X28" i="28"/>
  <c r="AH24" i="36"/>
  <c r="AF25" i="36" s="1"/>
  <c r="X33" i="19"/>
  <c r="W34" i="19"/>
  <c r="U32" i="19"/>
  <c r="S33" i="19" s="1"/>
  <c r="T33" i="19"/>
  <c r="Q33" i="19"/>
  <c r="R32" i="19"/>
  <c r="P33" i="19" s="1"/>
  <c r="N33" i="19"/>
  <c r="O32" i="19"/>
  <c r="K32" i="19"/>
  <c r="L31" i="19"/>
  <c r="H30" i="19"/>
  <c r="I29" i="19"/>
  <c r="F29" i="19"/>
  <c r="D30" i="19" s="1"/>
  <c r="E30" i="19"/>
  <c r="K17" i="39"/>
  <c r="I17" i="10"/>
  <c r="K17" i="10"/>
  <c r="Y24" i="19"/>
  <c r="AA24" i="27"/>
  <c r="D13" i="40" s="1"/>
  <c r="V13" i="40" s="1"/>
  <c r="AA24" i="19"/>
  <c r="O17" i="10"/>
  <c r="U17" i="10"/>
  <c r="J45" i="20" l="1"/>
  <c r="P45" i="20" s="1"/>
  <c r="P44" i="20"/>
  <c r="P27" i="20"/>
  <c r="G28" i="20"/>
  <c r="J45" i="18"/>
  <c r="P45" i="18" s="1"/>
  <c r="P44" i="18"/>
  <c r="G28" i="18"/>
  <c r="P27" i="18"/>
  <c r="X11" i="40"/>
  <c r="O11" i="40"/>
  <c r="X23" i="29"/>
  <c r="AB26" i="34"/>
  <c r="I26" i="34"/>
  <c r="AD26" i="34" s="1"/>
  <c r="G27" i="34"/>
  <c r="Q12" i="40"/>
  <c r="Z12" i="40"/>
  <c r="Q11" i="40"/>
  <c r="P10" i="40"/>
  <c r="T18" i="10"/>
  <c r="M18" i="10"/>
  <c r="F25" i="26"/>
  <c r="R25" i="26" s="1"/>
  <c r="P25" i="26"/>
  <c r="L19" i="10" s="1"/>
  <c r="AD26" i="22"/>
  <c r="AB27" i="22" s="1"/>
  <c r="AA26" i="22"/>
  <c r="Y27" i="22" s="1"/>
  <c r="G28" i="26"/>
  <c r="I23" i="29"/>
  <c r="R23" i="29" s="1"/>
  <c r="E10" i="40"/>
  <c r="E15" i="39"/>
  <c r="R22" i="29"/>
  <c r="Z22" i="29"/>
  <c r="G24" i="35"/>
  <c r="AO22" i="29"/>
  <c r="M17" i="39"/>
  <c r="AF24" i="35"/>
  <c r="H31" i="35"/>
  <c r="I22" i="28"/>
  <c r="P16" i="10"/>
  <c r="Q16" i="10" s="1"/>
  <c r="L16" i="39"/>
  <c r="V15" i="10"/>
  <c r="Q15" i="10"/>
  <c r="AA22" i="28"/>
  <c r="E16" i="39" s="1"/>
  <c r="G23" i="36"/>
  <c r="G23" i="28" s="1"/>
  <c r="Y23" i="17"/>
  <c r="I23" i="17"/>
  <c r="AC23" i="28"/>
  <c r="K12" i="40" s="1"/>
  <c r="AE23" i="17"/>
  <c r="AE23" i="28" s="1"/>
  <c r="F12" i="40" s="1"/>
  <c r="H30" i="17"/>
  <c r="C42" i="5"/>
  <c r="B43" i="5"/>
  <c r="R21" i="8"/>
  <c r="X21" i="8"/>
  <c r="L21" i="8"/>
  <c r="K30" i="5"/>
  <c r="L29" i="5"/>
  <c r="J30" i="5" s="1"/>
  <c r="E32" i="5"/>
  <c r="Z32" i="5"/>
  <c r="D28" i="9"/>
  <c r="D28" i="8"/>
  <c r="D26" i="5"/>
  <c r="F25" i="5"/>
  <c r="AA25" i="5" s="1"/>
  <c r="Y25" i="5"/>
  <c r="M28" i="5"/>
  <c r="M27" i="27"/>
  <c r="D28" i="39"/>
  <c r="D23" i="40"/>
  <c r="V23" i="40" s="1"/>
  <c r="E28" i="10"/>
  <c r="I28" i="10" s="1"/>
  <c r="N36" i="27"/>
  <c r="O35" i="27"/>
  <c r="AA35" i="27" s="1"/>
  <c r="J29" i="27"/>
  <c r="J30" i="19"/>
  <c r="G28" i="19"/>
  <c r="G27" i="27"/>
  <c r="V32" i="19"/>
  <c r="V31" i="27"/>
  <c r="M31" i="19"/>
  <c r="X34" i="5"/>
  <c r="V35" i="5" s="1"/>
  <c r="W35" i="5"/>
  <c r="T35" i="5"/>
  <c r="U34" i="5"/>
  <c r="S31" i="5"/>
  <c r="S30" i="27"/>
  <c r="P30" i="5"/>
  <c r="P29" i="27"/>
  <c r="G30" i="5"/>
  <c r="B29" i="28"/>
  <c r="C28" i="28"/>
  <c r="AD34" i="28"/>
  <c r="AR33" i="29"/>
  <c r="W25" i="29"/>
  <c r="U26" i="29" s="1"/>
  <c r="B29" i="29"/>
  <c r="C28" i="29"/>
  <c r="V32" i="29"/>
  <c r="AJ26" i="29"/>
  <c r="AA26" i="34"/>
  <c r="AL26" i="29" s="1"/>
  <c r="Z32" i="34"/>
  <c r="V26" i="34"/>
  <c r="W35" i="34"/>
  <c r="AD25" i="29"/>
  <c r="U25" i="34"/>
  <c r="AF25" i="29" s="1"/>
  <c r="T32" i="34"/>
  <c r="Q35" i="34"/>
  <c r="P27" i="34"/>
  <c r="O31" i="34"/>
  <c r="M32" i="34" s="1"/>
  <c r="N35" i="34"/>
  <c r="L30" i="34"/>
  <c r="J31" i="34" s="1"/>
  <c r="K35" i="34"/>
  <c r="H31" i="34"/>
  <c r="F30" i="34"/>
  <c r="D31" i="34" s="1"/>
  <c r="E32" i="34"/>
  <c r="M27" i="29"/>
  <c r="O27" i="29"/>
  <c r="J26" i="29"/>
  <c r="L26" i="29"/>
  <c r="F17" i="39"/>
  <c r="P12" i="40"/>
  <c r="AH25" i="34"/>
  <c r="AF26" i="34" s="1"/>
  <c r="Z23" i="29"/>
  <c r="X30" i="36"/>
  <c r="V31" i="36" s="1"/>
  <c r="W33" i="36"/>
  <c r="T33" i="36"/>
  <c r="S28" i="36"/>
  <c r="S27" i="28"/>
  <c r="U27" i="36"/>
  <c r="U27" i="28" s="1"/>
  <c r="P27" i="28"/>
  <c r="R27" i="36"/>
  <c r="R27" i="28" s="1"/>
  <c r="Q35" i="36"/>
  <c r="M31" i="28"/>
  <c r="O31" i="28" s="1"/>
  <c r="O31" i="36"/>
  <c r="M32" i="36" s="1"/>
  <c r="N35" i="36"/>
  <c r="J31" i="28"/>
  <c r="L31" i="28" s="1"/>
  <c r="L31" i="36"/>
  <c r="J32" i="36" s="1"/>
  <c r="K34" i="36"/>
  <c r="H32" i="36"/>
  <c r="H33" i="36" s="1"/>
  <c r="D25" i="36"/>
  <c r="E32" i="36"/>
  <c r="V29" i="28"/>
  <c r="AH25" i="36"/>
  <c r="AF26" i="36" s="1"/>
  <c r="X34" i="19"/>
  <c r="W35" i="19"/>
  <c r="U33" i="19"/>
  <c r="S34" i="19" s="1"/>
  <c r="T34" i="19"/>
  <c r="R33" i="19"/>
  <c r="P34" i="19" s="1"/>
  <c r="Q34" i="19"/>
  <c r="O33" i="19"/>
  <c r="N34" i="19"/>
  <c r="L32" i="19"/>
  <c r="K33" i="19"/>
  <c r="I30" i="19"/>
  <c r="H31" i="19"/>
  <c r="E31" i="19"/>
  <c r="F30" i="19"/>
  <c r="D31" i="19" s="1"/>
  <c r="D18" i="39"/>
  <c r="E18" i="10"/>
  <c r="N18" i="10"/>
  <c r="Y24" i="27"/>
  <c r="I13" i="40" s="1"/>
  <c r="P28" i="20" l="1"/>
  <c r="G29" i="20"/>
  <c r="P28" i="18"/>
  <c r="G29" i="18"/>
  <c r="W10" i="40"/>
  <c r="N10" i="40"/>
  <c r="X12" i="40"/>
  <c r="O12" i="40"/>
  <c r="AB27" i="34"/>
  <c r="I27" i="34"/>
  <c r="AD27" i="34" s="1"/>
  <c r="E11" i="40"/>
  <c r="N11" i="40" s="1"/>
  <c r="D26" i="26"/>
  <c r="T19" i="10"/>
  <c r="M19" i="10"/>
  <c r="D19" i="10"/>
  <c r="AD27" i="22"/>
  <c r="AB28" i="22" s="1"/>
  <c r="AA27" i="22"/>
  <c r="Y28" i="22" s="1"/>
  <c r="G29" i="26"/>
  <c r="AC24" i="17"/>
  <c r="AC24" i="28" s="1"/>
  <c r="K13" i="40" s="1"/>
  <c r="V16" i="10"/>
  <c r="H34" i="36"/>
  <c r="F16" i="10"/>
  <c r="J16" i="10" s="1"/>
  <c r="G11" i="40"/>
  <c r="Y11" i="40" s="1"/>
  <c r="F16" i="39"/>
  <c r="AQ24" i="29"/>
  <c r="M13" i="40" s="1"/>
  <c r="AH24" i="35"/>
  <c r="AS24" i="29" s="1"/>
  <c r="H13" i="40" s="1"/>
  <c r="Z13" i="40" s="1"/>
  <c r="AB24" i="35"/>
  <c r="AM24" i="29" s="1"/>
  <c r="I24" i="35"/>
  <c r="G24" i="29"/>
  <c r="H32" i="35"/>
  <c r="H33" i="35" s="1"/>
  <c r="AB23" i="36"/>
  <c r="Y23" i="28" s="1"/>
  <c r="J12" i="40" s="1"/>
  <c r="I23" i="36"/>
  <c r="AD23" i="36" s="1"/>
  <c r="AA23" i="17"/>
  <c r="AE24" i="17"/>
  <c r="AE24" i="28" s="1"/>
  <c r="F13" i="40" s="1"/>
  <c r="H31" i="17"/>
  <c r="G24" i="17"/>
  <c r="J16" i="6"/>
  <c r="L16" i="6" s="1"/>
  <c r="C22" i="8"/>
  <c r="E22" i="8"/>
  <c r="C16" i="6"/>
  <c r="E16" i="6" s="1"/>
  <c r="Z33" i="5"/>
  <c r="D29" i="9"/>
  <c r="D29" i="8"/>
  <c r="K31" i="5"/>
  <c r="L30" i="5"/>
  <c r="J31" i="5" s="1"/>
  <c r="B44" i="5"/>
  <c r="C43" i="5"/>
  <c r="F26" i="5"/>
  <c r="AA26" i="5" s="1"/>
  <c r="Y26" i="5"/>
  <c r="M29" i="5"/>
  <c r="M28" i="27"/>
  <c r="N37" i="27"/>
  <c r="O36" i="27"/>
  <c r="AA36" i="27" s="1"/>
  <c r="D25" i="40" s="1"/>
  <c r="V25" i="40" s="1"/>
  <c r="D24" i="40"/>
  <c r="V24" i="40" s="1"/>
  <c r="D29" i="39"/>
  <c r="E29" i="10"/>
  <c r="I29" i="10" s="1"/>
  <c r="J30" i="27"/>
  <c r="J31" i="19"/>
  <c r="G29" i="19"/>
  <c r="G28" i="27"/>
  <c r="V33" i="19"/>
  <c r="V32" i="27"/>
  <c r="M32" i="19"/>
  <c r="W36" i="5"/>
  <c r="X35" i="5"/>
  <c r="V36" i="5" s="1"/>
  <c r="T36" i="5"/>
  <c r="U35" i="5"/>
  <c r="S32" i="5"/>
  <c r="S31" i="27"/>
  <c r="P31" i="5"/>
  <c r="P30" i="27"/>
  <c r="G31" i="5"/>
  <c r="C29" i="28"/>
  <c r="B30" i="28"/>
  <c r="AD35" i="28"/>
  <c r="AD36" i="28" s="1"/>
  <c r="AD37" i="28" s="1"/>
  <c r="AD38" i="28" s="1"/>
  <c r="AD39" i="28" s="1"/>
  <c r="AD40" i="28" s="1"/>
  <c r="AD41" i="28" s="1"/>
  <c r="AD42" i="28" s="1"/>
  <c r="AD43" i="28" s="1"/>
  <c r="AD44" i="28" s="1"/>
  <c r="AD45" i="28" s="1"/>
  <c r="AR34" i="29"/>
  <c r="W26" i="29"/>
  <c r="U27" i="29" s="1"/>
  <c r="B30" i="29"/>
  <c r="C29" i="29"/>
  <c r="V33" i="29"/>
  <c r="V34" i="29" s="1"/>
  <c r="Z33" i="34"/>
  <c r="Y27" i="34"/>
  <c r="V27" i="34"/>
  <c r="AG26" i="29"/>
  <c r="X26" i="34"/>
  <c r="AI26" i="29" s="1"/>
  <c r="T33" i="34"/>
  <c r="S26" i="34"/>
  <c r="AA27" i="29"/>
  <c r="R27" i="34"/>
  <c r="AC27" i="29" s="1"/>
  <c r="O32" i="34"/>
  <c r="M33" i="34" s="1"/>
  <c r="L31" i="34"/>
  <c r="J32" i="34" s="1"/>
  <c r="H32" i="34"/>
  <c r="H33" i="34" s="1"/>
  <c r="F31" i="34"/>
  <c r="D32" i="34" s="1"/>
  <c r="F32" i="34" s="1"/>
  <c r="M28" i="29"/>
  <c r="O28" i="29"/>
  <c r="AH26" i="34"/>
  <c r="AF27" i="34"/>
  <c r="X31" i="36"/>
  <c r="V32" i="36" s="1"/>
  <c r="W34" i="36"/>
  <c r="S28" i="28"/>
  <c r="U28" i="36"/>
  <c r="U28" i="28" s="1"/>
  <c r="T34" i="36"/>
  <c r="P28" i="36"/>
  <c r="M32" i="28"/>
  <c r="O32" i="28" s="1"/>
  <c r="O32" i="36"/>
  <c r="M33" i="36" s="1"/>
  <c r="J32" i="28"/>
  <c r="L32" i="28" s="1"/>
  <c r="L32" i="36"/>
  <c r="J33" i="36" s="1"/>
  <c r="K35" i="36"/>
  <c r="F25" i="36"/>
  <c r="X29" i="28"/>
  <c r="AH26" i="36"/>
  <c r="AF27" i="36" s="1"/>
  <c r="W36" i="19"/>
  <c r="X35" i="19"/>
  <c r="T35" i="19"/>
  <c r="U34" i="19"/>
  <c r="S35" i="19" s="1"/>
  <c r="R34" i="19"/>
  <c r="P35" i="19" s="1"/>
  <c r="Q35" i="19"/>
  <c r="O34" i="19"/>
  <c r="N35" i="19"/>
  <c r="L33" i="19"/>
  <c r="K34" i="19"/>
  <c r="I31" i="19"/>
  <c r="H32" i="19"/>
  <c r="E32" i="19"/>
  <c r="F31" i="19"/>
  <c r="D32" i="19" s="1"/>
  <c r="Q13" i="40"/>
  <c r="K18" i="39"/>
  <c r="I18" i="10"/>
  <c r="K18" i="10"/>
  <c r="O18" i="10"/>
  <c r="U18" i="10"/>
  <c r="Y25" i="19"/>
  <c r="AA25" i="27"/>
  <c r="D14" i="40" s="1"/>
  <c r="AA25" i="19"/>
  <c r="G30" i="20" l="1"/>
  <c r="P29" i="20"/>
  <c r="G30" i="18"/>
  <c r="P29" i="18"/>
  <c r="X13" i="40"/>
  <c r="O13" i="40"/>
  <c r="G28" i="34"/>
  <c r="H34" i="34"/>
  <c r="W11" i="40"/>
  <c r="D37" i="40"/>
  <c r="V14" i="40"/>
  <c r="P11" i="40"/>
  <c r="D50" i="10"/>
  <c r="F26" i="26"/>
  <c r="R26" i="26" s="1"/>
  <c r="D20" i="10" s="1"/>
  <c r="P26" i="26"/>
  <c r="L20" i="10" s="1"/>
  <c r="AA28" i="22"/>
  <c r="Y29" i="22" s="1"/>
  <c r="AD28" i="22"/>
  <c r="AB29" i="22" s="1"/>
  <c r="G30" i="26"/>
  <c r="AF25" i="35"/>
  <c r="H34" i="35"/>
  <c r="H35" i="36"/>
  <c r="AD24" i="35"/>
  <c r="AO24" i="29" s="1"/>
  <c r="I24" i="29"/>
  <c r="L13" i="40"/>
  <c r="M18" i="39"/>
  <c r="AQ25" i="29"/>
  <c r="M14" i="40" s="1"/>
  <c r="AH25" i="35"/>
  <c r="AS25" i="29" s="1"/>
  <c r="G25" i="35"/>
  <c r="X24" i="29"/>
  <c r="P24" i="29"/>
  <c r="P17" i="10"/>
  <c r="V17" i="10" s="1"/>
  <c r="L17" i="39"/>
  <c r="G24" i="36"/>
  <c r="I23" i="28"/>
  <c r="AA23" i="28"/>
  <c r="F17" i="10" s="1"/>
  <c r="J17" i="10" s="1"/>
  <c r="Y24" i="17"/>
  <c r="G24" i="28"/>
  <c r="I24" i="17"/>
  <c r="AC25" i="17"/>
  <c r="H32" i="17"/>
  <c r="H33" i="17" s="1"/>
  <c r="C17" i="6"/>
  <c r="E17" i="6" s="1"/>
  <c r="E23" i="8"/>
  <c r="D30" i="8"/>
  <c r="Z34" i="5"/>
  <c r="D30" i="9"/>
  <c r="M30" i="5"/>
  <c r="M29" i="27"/>
  <c r="D27" i="5"/>
  <c r="K32" i="5"/>
  <c r="L31" i="5"/>
  <c r="J32" i="5" s="1"/>
  <c r="X22" i="8"/>
  <c r="R22" i="8"/>
  <c r="L22" i="8"/>
  <c r="C23" i="8"/>
  <c r="J17" i="6"/>
  <c r="L17" i="6" s="1"/>
  <c r="B45" i="5"/>
  <c r="C45" i="5" s="1"/>
  <c r="C44" i="5"/>
  <c r="D30" i="39"/>
  <c r="E30" i="10"/>
  <c r="N38" i="27"/>
  <c r="O37" i="27"/>
  <c r="AA37" i="27" s="1"/>
  <c r="D26" i="40" s="1"/>
  <c r="V26" i="40" s="1"/>
  <c r="J32" i="19"/>
  <c r="J31" i="27"/>
  <c r="G29" i="27"/>
  <c r="G30" i="19"/>
  <c r="V34" i="19"/>
  <c r="V33" i="27"/>
  <c r="M33" i="19"/>
  <c r="X36" i="5"/>
  <c r="V37" i="5" s="1"/>
  <c r="W37" i="5"/>
  <c r="U36" i="5"/>
  <c r="S33" i="5"/>
  <c r="S32" i="27"/>
  <c r="P32" i="5"/>
  <c r="P31" i="27"/>
  <c r="G32" i="5"/>
  <c r="G33" i="5" s="1"/>
  <c r="H14" i="40"/>
  <c r="B31" i="28"/>
  <c r="C30" i="28"/>
  <c r="AR35" i="29"/>
  <c r="W27" i="29"/>
  <c r="U28" i="29" s="1"/>
  <c r="B31" i="29"/>
  <c r="C30" i="29"/>
  <c r="V35" i="29"/>
  <c r="AJ27" i="29"/>
  <c r="AA27" i="34"/>
  <c r="AL27" i="29" s="1"/>
  <c r="Z34" i="34"/>
  <c r="AG27" i="29"/>
  <c r="X27" i="34"/>
  <c r="AI27" i="29" s="1"/>
  <c r="AD26" i="29"/>
  <c r="U26" i="34"/>
  <c r="AF26" i="29" s="1"/>
  <c r="T34" i="34"/>
  <c r="P28" i="34"/>
  <c r="O33" i="34"/>
  <c r="M34" i="34" s="1"/>
  <c r="L32" i="34"/>
  <c r="J33" i="34" s="1"/>
  <c r="J27" i="29"/>
  <c r="L27" i="29"/>
  <c r="AH27" i="34"/>
  <c r="AF28" i="34" s="1"/>
  <c r="X32" i="36"/>
  <c r="V33" i="36" s="1"/>
  <c r="W35" i="36"/>
  <c r="T35" i="36"/>
  <c r="S29" i="36"/>
  <c r="P28" i="28"/>
  <c r="R28" i="36"/>
  <c r="M33" i="28"/>
  <c r="O33" i="28" s="1"/>
  <c r="O33" i="36"/>
  <c r="M34" i="36" s="1"/>
  <c r="J33" i="28"/>
  <c r="L33" i="28" s="1"/>
  <c r="L33" i="36"/>
  <c r="D26" i="36"/>
  <c r="V30" i="28"/>
  <c r="AH27" i="36"/>
  <c r="AF28" i="36" s="1"/>
  <c r="W37" i="19"/>
  <c r="X36" i="19"/>
  <c r="T36" i="19"/>
  <c r="U35" i="19"/>
  <c r="S36" i="19" s="1"/>
  <c r="Q36" i="19"/>
  <c r="R35" i="19"/>
  <c r="P36" i="19" s="1"/>
  <c r="N36" i="19"/>
  <c r="O35" i="19"/>
  <c r="K35" i="19"/>
  <c r="L34" i="19"/>
  <c r="I32" i="19"/>
  <c r="F32" i="19"/>
  <c r="E19" i="10"/>
  <c r="D19" i="39"/>
  <c r="Y26" i="19"/>
  <c r="AA26" i="27"/>
  <c r="D15" i="40" s="1"/>
  <c r="V15" i="40" s="1"/>
  <c r="AA26" i="19"/>
  <c r="Y25" i="27"/>
  <c r="I14" i="40" s="1"/>
  <c r="N19" i="10"/>
  <c r="G31" i="20" l="1"/>
  <c r="P30" i="20"/>
  <c r="P30" i="18"/>
  <c r="G31" i="18"/>
  <c r="H35" i="34"/>
  <c r="AB28" i="34"/>
  <c r="I28" i="34"/>
  <c r="AD28" i="34" s="1"/>
  <c r="H37" i="40"/>
  <c r="Z14" i="40"/>
  <c r="D27" i="26"/>
  <c r="T20" i="10"/>
  <c r="M20" i="10"/>
  <c r="AD29" i="22"/>
  <c r="AB30" i="22" s="1"/>
  <c r="AA29" i="22"/>
  <c r="Y30" i="22" s="1"/>
  <c r="G31" i="26"/>
  <c r="AF26" i="35"/>
  <c r="AQ26" i="29" s="1"/>
  <c r="M15" i="40" s="1"/>
  <c r="H35" i="35"/>
  <c r="E17" i="39"/>
  <c r="Q17" i="10"/>
  <c r="E12" i="40"/>
  <c r="N12" i="40" s="1"/>
  <c r="H34" i="17"/>
  <c r="Z24" i="29"/>
  <c r="R24" i="29"/>
  <c r="AB25" i="35"/>
  <c r="AM25" i="29" s="1"/>
  <c r="I25" i="35"/>
  <c r="G25" i="29"/>
  <c r="F18" i="39"/>
  <c r="G13" i="40"/>
  <c r="AB24" i="36"/>
  <c r="Y24" i="28" s="1"/>
  <c r="I24" i="36"/>
  <c r="AD24" i="36" s="1"/>
  <c r="AA24" i="17"/>
  <c r="AC25" i="28"/>
  <c r="K14" i="40" s="1"/>
  <c r="AE25" i="17"/>
  <c r="AE25" i="28" s="1"/>
  <c r="F14" i="40" s="1"/>
  <c r="O14" i="40" s="1"/>
  <c r="G25" i="17"/>
  <c r="X23" i="8"/>
  <c r="R23" i="8"/>
  <c r="L23" i="8"/>
  <c r="M31" i="5"/>
  <c r="M30" i="27"/>
  <c r="L32" i="5"/>
  <c r="J33" i="5" s="1"/>
  <c r="K33" i="5"/>
  <c r="F27" i="5"/>
  <c r="AA27" i="5" s="1"/>
  <c r="Y27" i="5"/>
  <c r="D31" i="8"/>
  <c r="Z35" i="5"/>
  <c r="D31" i="9"/>
  <c r="E31" i="10"/>
  <c r="D31" i="39"/>
  <c r="P25" i="40"/>
  <c r="K30" i="10"/>
  <c r="K53" i="10" s="1"/>
  <c r="I30" i="10"/>
  <c r="N39" i="27"/>
  <c r="O38" i="27"/>
  <c r="AA38" i="27" s="1"/>
  <c r="D27" i="40" s="1"/>
  <c r="V27" i="40" s="1"/>
  <c r="J33" i="19"/>
  <c r="J32" i="27"/>
  <c r="G30" i="27"/>
  <c r="G31" i="19"/>
  <c r="V35" i="19"/>
  <c r="V34" i="27"/>
  <c r="M34" i="19"/>
  <c r="W38" i="5"/>
  <c r="X37" i="5"/>
  <c r="V38" i="5" s="1"/>
  <c r="S34" i="5"/>
  <c r="S33" i="27"/>
  <c r="P33" i="5"/>
  <c r="P32" i="27"/>
  <c r="B32" i="28"/>
  <c r="C31" i="28"/>
  <c r="W28" i="29"/>
  <c r="U29" i="29" s="1"/>
  <c r="B32" i="29"/>
  <c r="C31" i="29"/>
  <c r="V36" i="29"/>
  <c r="Z35" i="34"/>
  <c r="Y28" i="34"/>
  <c r="V28" i="34"/>
  <c r="T35" i="34"/>
  <c r="S27" i="34"/>
  <c r="AA28" i="29"/>
  <c r="R28" i="34"/>
  <c r="AC28" i="29" s="1"/>
  <c r="O34" i="34"/>
  <c r="M35" i="34" s="1"/>
  <c r="O35" i="34" s="1"/>
  <c r="L33" i="34"/>
  <c r="J34" i="34" s="1"/>
  <c r="M29" i="29"/>
  <c r="O29" i="29"/>
  <c r="AH28" i="34"/>
  <c r="AF29" i="34" s="1"/>
  <c r="X33" i="36"/>
  <c r="V34" i="36" s="1"/>
  <c r="S30" i="36"/>
  <c r="S29" i="28"/>
  <c r="U29" i="36"/>
  <c r="U29" i="28" s="1"/>
  <c r="R28" i="28"/>
  <c r="P29" i="36"/>
  <c r="M34" i="28"/>
  <c r="O34" i="28" s="1"/>
  <c r="O34" i="36"/>
  <c r="M35" i="36" s="1"/>
  <c r="J34" i="36"/>
  <c r="F26" i="36"/>
  <c r="X30" i="28"/>
  <c r="AH28" i="36"/>
  <c r="AF29" i="36" s="1"/>
  <c r="W38" i="19"/>
  <c r="X37" i="19"/>
  <c r="U36" i="19"/>
  <c r="S37" i="19" s="1"/>
  <c r="T37" i="19"/>
  <c r="R36" i="19"/>
  <c r="N37" i="19"/>
  <c r="O36" i="19"/>
  <c r="K36" i="19"/>
  <c r="L35" i="19"/>
  <c r="Y33" i="19"/>
  <c r="G33" i="27"/>
  <c r="AA33" i="19"/>
  <c r="D20" i="39"/>
  <c r="E20" i="10"/>
  <c r="U19" i="10"/>
  <c r="O19" i="10"/>
  <c r="K19" i="39"/>
  <c r="Y26" i="27"/>
  <c r="I15" i="40" s="1"/>
  <c r="N20" i="10"/>
  <c r="I19" i="10"/>
  <c r="I50" i="10" s="1"/>
  <c r="K19" i="10"/>
  <c r="K50" i="10" s="1"/>
  <c r="E50" i="10"/>
  <c r="Q14" i="40"/>
  <c r="P31" i="20" l="1"/>
  <c r="G32" i="20"/>
  <c r="P32" i="20" s="1"/>
  <c r="P31" i="18"/>
  <c r="G32" i="18"/>
  <c r="P32" i="18" s="1"/>
  <c r="P18" i="10"/>
  <c r="J13" i="40"/>
  <c r="G29" i="34"/>
  <c r="W12" i="40"/>
  <c r="P13" i="40"/>
  <c r="Y13" i="40"/>
  <c r="F37" i="40"/>
  <c r="X14" i="40"/>
  <c r="F27" i="26"/>
  <c r="R27" i="26" s="1"/>
  <c r="D21" i="10" s="1"/>
  <c r="P27" i="26"/>
  <c r="L21" i="10" s="1"/>
  <c r="AD30" i="22"/>
  <c r="AB31" i="22" s="1"/>
  <c r="AA30" i="22"/>
  <c r="Y31" i="22" s="1"/>
  <c r="G32" i="26"/>
  <c r="AH26" i="35"/>
  <c r="AS26" i="29" s="1"/>
  <c r="H35" i="17"/>
  <c r="AD25" i="35"/>
  <c r="AO25" i="29" s="1"/>
  <c r="I25" i="29"/>
  <c r="L14" i="40"/>
  <c r="M19" i="39"/>
  <c r="G26" i="35"/>
  <c r="X25" i="29"/>
  <c r="P25" i="29"/>
  <c r="L18" i="39"/>
  <c r="I24" i="28"/>
  <c r="G25" i="36"/>
  <c r="G25" i="28" s="1"/>
  <c r="AA24" i="28"/>
  <c r="E13" i="40" s="1"/>
  <c r="N13" i="40" s="1"/>
  <c r="Y25" i="17"/>
  <c r="I25" i="17"/>
  <c r="V18" i="10"/>
  <c r="Q18" i="10"/>
  <c r="AC26" i="17"/>
  <c r="J18" i="6"/>
  <c r="L18" i="6" s="1"/>
  <c r="C24" i="8"/>
  <c r="C18" i="6"/>
  <c r="E18" i="6" s="1"/>
  <c r="E24" i="8"/>
  <c r="Z36" i="5"/>
  <c r="D32" i="9"/>
  <c r="D32" i="8"/>
  <c r="D28" i="5"/>
  <c r="K34" i="5"/>
  <c r="L33" i="5"/>
  <c r="AA33" i="5" s="1"/>
  <c r="M32" i="5"/>
  <c r="M31" i="27"/>
  <c r="E32" i="10"/>
  <c r="D32" i="39"/>
  <c r="N40" i="27"/>
  <c r="O39" i="27"/>
  <c r="AA39" i="27" s="1"/>
  <c r="D28" i="40" s="1"/>
  <c r="V28" i="40" s="1"/>
  <c r="I31" i="10"/>
  <c r="K31" i="10"/>
  <c r="P26" i="40"/>
  <c r="J34" i="19"/>
  <c r="J33" i="27"/>
  <c r="G32" i="19"/>
  <c r="G32" i="27" s="1"/>
  <c r="G31" i="27"/>
  <c r="V35" i="27"/>
  <c r="V36" i="19"/>
  <c r="M35" i="19"/>
  <c r="X38" i="5"/>
  <c r="S35" i="5"/>
  <c r="S34" i="27"/>
  <c r="P34" i="5"/>
  <c r="P33" i="27"/>
  <c r="H15" i="40"/>
  <c r="B33" i="28"/>
  <c r="C32" i="28"/>
  <c r="W29" i="29"/>
  <c r="U30" i="29" s="1"/>
  <c r="B33" i="29"/>
  <c r="C32" i="29"/>
  <c r="AJ28" i="29"/>
  <c r="AA28" i="34"/>
  <c r="AL28" i="29" s="1"/>
  <c r="AG28" i="29"/>
  <c r="X28" i="34"/>
  <c r="AI28" i="29" s="1"/>
  <c r="AD27" i="29"/>
  <c r="U27" i="34"/>
  <c r="AF27" i="29" s="1"/>
  <c r="P29" i="34"/>
  <c r="L34" i="34"/>
  <c r="J35" i="34" s="1"/>
  <c r="L35" i="34" s="1"/>
  <c r="J28" i="29"/>
  <c r="L28" i="29"/>
  <c r="AH29" i="34"/>
  <c r="AF30" i="34" s="1"/>
  <c r="X34" i="36"/>
  <c r="V35" i="36" s="1"/>
  <c r="X35" i="36" s="1"/>
  <c r="S31" i="36"/>
  <c r="S30" i="28"/>
  <c r="U30" i="36"/>
  <c r="U30" i="28" s="1"/>
  <c r="P30" i="36"/>
  <c r="P29" i="28"/>
  <c r="R29" i="36"/>
  <c r="M35" i="28"/>
  <c r="O35" i="28" s="1"/>
  <c r="O35" i="36"/>
  <c r="J34" i="28"/>
  <c r="L34" i="28" s="1"/>
  <c r="L34" i="36"/>
  <c r="D27" i="36"/>
  <c r="V31" i="28"/>
  <c r="AH29" i="36"/>
  <c r="AF30" i="36" s="1"/>
  <c r="X38" i="19"/>
  <c r="U37" i="19"/>
  <c r="O37" i="19"/>
  <c r="N38" i="19"/>
  <c r="L36" i="19"/>
  <c r="K37" i="19"/>
  <c r="AA34" i="19"/>
  <c r="K20" i="39"/>
  <c r="K20" i="10"/>
  <c r="I20" i="10"/>
  <c r="Y27" i="19"/>
  <c r="AA27" i="27"/>
  <c r="D16" i="40" s="1"/>
  <c r="V16" i="40" s="1"/>
  <c r="AA27" i="19"/>
  <c r="U20" i="10"/>
  <c r="O20" i="10"/>
  <c r="AB29" i="34" l="1"/>
  <c r="I29" i="34"/>
  <c r="AD29" i="34" s="1"/>
  <c r="Q15" i="40"/>
  <c r="Z15" i="40"/>
  <c r="W13" i="40"/>
  <c r="M21" i="10"/>
  <c r="T21" i="10"/>
  <c r="D28" i="26"/>
  <c r="AA31" i="22"/>
  <c r="Y32" i="22" s="1"/>
  <c r="AD31" i="22"/>
  <c r="AB32" i="22" s="1"/>
  <c r="G33" i="26"/>
  <c r="AF27" i="35"/>
  <c r="E18" i="39"/>
  <c r="R25" i="29"/>
  <c r="Z25" i="29"/>
  <c r="AB26" i="35"/>
  <c r="AM26" i="29" s="1"/>
  <c r="I26" i="35"/>
  <c r="G26" i="29"/>
  <c r="G14" i="40"/>
  <c r="Y14" i="40" s="1"/>
  <c r="F19" i="39"/>
  <c r="F18" i="10"/>
  <c r="J18" i="10" s="1"/>
  <c r="AB25" i="36"/>
  <c r="Y25" i="28" s="1"/>
  <c r="J14" i="40" s="1"/>
  <c r="I25" i="36"/>
  <c r="AD25" i="36" s="1"/>
  <c r="AA25" i="17"/>
  <c r="AC26" i="28"/>
  <c r="K15" i="40" s="1"/>
  <c r="AE26" i="17"/>
  <c r="AE26" i="28" s="1"/>
  <c r="F15" i="40" s="1"/>
  <c r="G26" i="17"/>
  <c r="C24" i="6"/>
  <c r="E24" i="6" s="1"/>
  <c r="E30" i="8"/>
  <c r="K35" i="5"/>
  <c r="L34" i="5"/>
  <c r="AA34" i="5" s="1"/>
  <c r="Z37" i="5"/>
  <c r="D33" i="9"/>
  <c r="D33" i="8"/>
  <c r="D29" i="5"/>
  <c r="F28" i="5"/>
  <c r="AA28" i="5" s="1"/>
  <c r="Y28" i="5"/>
  <c r="L24" i="8"/>
  <c r="X24" i="8"/>
  <c r="R24" i="8"/>
  <c r="J34" i="5"/>
  <c r="M33" i="5"/>
  <c r="M32" i="27"/>
  <c r="K32" i="10"/>
  <c r="I32" i="10"/>
  <c r="N41" i="27"/>
  <c r="O40" i="27"/>
  <c r="AA40" i="27" s="1"/>
  <c r="D29" i="40" s="1"/>
  <c r="V29" i="40" s="1"/>
  <c r="D33" i="39"/>
  <c r="E33" i="10"/>
  <c r="P27" i="40"/>
  <c r="J35" i="19"/>
  <c r="J34" i="27"/>
  <c r="V37" i="19"/>
  <c r="V38" i="19" s="1"/>
  <c r="V36" i="27"/>
  <c r="M36" i="19"/>
  <c r="S36" i="5"/>
  <c r="S35" i="27"/>
  <c r="P35" i="5"/>
  <c r="P34" i="27"/>
  <c r="B34" i="28"/>
  <c r="C33" i="28"/>
  <c r="W30" i="29"/>
  <c r="U31" i="29" s="1"/>
  <c r="B34" i="29"/>
  <c r="C33" i="29"/>
  <c r="Y29" i="34"/>
  <c r="V29" i="34"/>
  <c r="S28" i="34"/>
  <c r="AA29" i="29"/>
  <c r="R29" i="34"/>
  <c r="AC29" i="29" s="1"/>
  <c r="M30" i="29"/>
  <c r="O30" i="29"/>
  <c r="AH30" i="34"/>
  <c r="AF31" i="34" s="1"/>
  <c r="S32" i="36"/>
  <c r="S31" i="28"/>
  <c r="U31" i="36"/>
  <c r="U31" i="28" s="1"/>
  <c r="P30" i="28"/>
  <c r="R30" i="36"/>
  <c r="R29" i="28"/>
  <c r="J35" i="36"/>
  <c r="F27" i="36"/>
  <c r="X31" i="28"/>
  <c r="AH30" i="36"/>
  <c r="AF31" i="36" s="1"/>
  <c r="O38" i="19"/>
  <c r="N39" i="19"/>
  <c r="L37" i="19"/>
  <c r="K38" i="19"/>
  <c r="Y34" i="19"/>
  <c r="G34" i="27"/>
  <c r="AA35" i="19"/>
  <c r="E21" i="10"/>
  <c r="D21" i="39"/>
  <c r="Y27" i="27"/>
  <c r="I16" i="40" s="1"/>
  <c r="N21" i="10"/>
  <c r="Y28" i="19"/>
  <c r="AA28" i="27"/>
  <c r="D17" i="40" s="1"/>
  <c r="V17" i="40" s="1"/>
  <c r="AA28" i="19"/>
  <c r="X15" i="40" l="1"/>
  <c r="O15" i="40"/>
  <c r="G30" i="34"/>
  <c r="P14" i="40"/>
  <c r="G37" i="40"/>
  <c r="F28" i="26"/>
  <c r="R28" i="26" s="1"/>
  <c r="D22" i="10" s="1"/>
  <c r="P28" i="26"/>
  <c r="L22" i="10" s="1"/>
  <c r="AD32" i="22"/>
  <c r="AB33" i="22" s="1"/>
  <c r="AA32" i="22"/>
  <c r="Y33" i="22" s="1"/>
  <c r="G34" i="26"/>
  <c r="P33" i="26"/>
  <c r="L27" i="10" s="1"/>
  <c r="AQ27" i="29"/>
  <c r="M16" i="40" s="1"/>
  <c r="AH27" i="35"/>
  <c r="AC27" i="17"/>
  <c r="AC27" i="28" s="1"/>
  <c r="K16" i="40" s="1"/>
  <c r="AD26" i="35"/>
  <c r="AO26" i="29" s="1"/>
  <c r="I26" i="29"/>
  <c r="G27" i="35"/>
  <c r="L15" i="40"/>
  <c r="M20" i="39"/>
  <c r="P26" i="29"/>
  <c r="X26" i="29"/>
  <c r="P19" i="10"/>
  <c r="V19" i="10" s="1"/>
  <c r="L19" i="39"/>
  <c r="I25" i="28"/>
  <c r="G26" i="36"/>
  <c r="G26" i="28" s="1"/>
  <c r="AA25" i="28"/>
  <c r="E14" i="40" s="1"/>
  <c r="Y26" i="17"/>
  <c r="I26" i="17"/>
  <c r="G27" i="17" s="1"/>
  <c r="F29" i="5"/>
  <c r="AA29" i="5" s="1"/>
  <c r="Y29" i="5"/>
  <c r="C25" i="6"/>
  <c r="E25" i="6" s="1"/>
  <c r="E31" i="8"/>
  <c r="M34" i="5"/>
  <c r="M33" i="27"/>
  <c r="Y33" i="5"/>
  <c r="K36" i="5"/>
  <c r="L35" i="5"/>
  <c r="AA35" i="5" s="1"/>
  <c r="J35" i="5"/>
  <c r="C25" i="8"/>
  <c r="J19" i="6"/>
  <c r="L19" i="6" s="1"/>
  <c r="X30" i="8"/>
  <c r="L30" i="8"/>
  <c r="C19" i="6"/>
  <c r="E19" i="6" s="1"/>
  <c r="E25" i="8"/>
  <c r="Z38" i="5"/>
  <c r="D34" i="9"/>
  <c r="D34" i="8"/>
  <c r="P28" i="40"/>
  <c r="D34" i="39"/>
  <c r="E34" i="10"/>
  <c r="I33" i="10"/>
  <c r="K33" i="10"/>
  <c r="O41" i="27"/>
  <c r="AA41" i="27" s="1"/>
  <c r="D30" i="40" s="1"/>
  <c r="V30" i="40" s="1"/>
  <c r="N42" i="27"/>
  <c r="J36" i="19"/>
  <c r="J35" i="27"/>
  <c r="M37" i="19"/>
  <c r="S36" i="27"/>
  <c r="P36" i="5"/>
  <c r="P35" i="27"/>
  <c r="B35" i="28"/>
  <c r="C34" i="28"/>
  <c r="W31" i="29"/>
  <c r="U32" i="29" s="1"/>
  <c r="B35" i="29"/>
  <c r="C34" i="29"/>
  <c r="AJ29" i="29"/>
  <c r="AA29" i="34"/>
  <c r="AL29" i="29" s="1"/>
  <c r="AG29" i="29"/>
  <c r="X29" i="34"/>
  <c r="AI29" i="29" s="1"/>
  <c r="AD28" i="29"/>
  <c r="U28" i="34"/>
  <c r="AF28" i="29" s="1"/>
  <c r="P30" i="34"/>
  <c r="J29" i="29"/>
  <c r="L29" i="29"/>
  <c r="AH31" i="34"/>
  <c r="AF32" i="34" s="1"/>
  <c r="S33" i="36"/>
  <c r="S32" i="28"/>
  <c r="U32" i="36"/>
  <c r="U32" i="28" s="1"/>
  <c r="R30" i="28"/>
  <c r="P31" i="36"/>
  <c r="J35" i="28"/>
  <c r="L35" i="28" s="1"/>
  <c r="L35" i="36"/>
  <c r="D28" i="36"/>
  <c r="V32" i="28"/>
  <c r="AH31" i="36"/>
  <c r="AF32" i="36" s="1"/>
  <c r="N40" i="19"/>
  <c r="O39" i="19"/>
  <c r="K39" i="19"/>
  <c r="L38" i="19"/>
  <c r="AA36" i="19"/>
  <c r="Y35" i="19"/>
  <c r="G35" i="27"/>
  <c r="E22" i="10"/>
  <c r="D22" i="39"/>
  <c r="N22" i="10"/>
  <c r="Y28" i="27"/>
  <c r="I17" i="40" s="1"/>
  <c r="O21" i="10"/>
  <c r="U21" i="10"/>
  <c r="I21" i="10"/>
  <c r="K21" i="10"/>
  <c r="AA29" i="27"/>
  <c r="D18" i="40" s="1"/>
  <c r="V18" i="40" s="1"/>
  <c r="Y29" i="19"/>
  <c r="AA29" i="19"/>
  <c r="K21" i="39"/>
  <c r="W14" i="40" l="1"/>
  <c r="N14" i="40"/>
  <c r="AB30" i="34"/>
  <c r="G31" i="34"/>
  <c r="I30" i="34"/>
  <c r="AD30" i="34" s="1"/>
  <c r="E37" i="40"/>
  <c r="M22" i="10"/>
  <c r="T22" i="10"/>
  <c r="D29" i="26"/>
  <c r="AA33" i="22"/>
  <c r="Y34" i="22" s="1"/>
  <c r="AA34" i="22" s="1"/>
  <c r="AD33" i="22"/>
  <c r="AB34" i="22" s="1"/>
  <c r="T27" i="10"/>
  <c r="G35" i="26"/>
  <c r="P34" i="26"/>
  <c r="L28" i="10" s="1"/>
  <c r="AS27" i="29"/>
  <c r="H16" i="40" s="1"/>
  <c r="AF28" i="35"/>
  <c r="AE27" i="17"/>
  <c r="AE27" i="28" s="1"/>
  <c r="F16" i="40" s="1"/>
  <c r="Q19" i="10"/>
  <c r="AB27" i="35"/>
  <c r="AM27" i="29" s="1"/>
  <c r="I27" i="35"/>
  <c r="G27" i="29"/>
  <c r="Z26" i="29"/>
  <c r="R26" i="29"/>
  <c r="G15" i="40"/>
  <c r="F20" i="39"/>
  <c r="E19" i="39"/>
  <c r="F19" i="10"/>
  <c r="F50" i="10" s="1"/>
  <c r="AB26" i="36"/>
  <c r="Y26" i="28" s="1"/>
  <c r="J15" i="40" s="1"/>
  <c r="I26" i="36"/>
  <c r="AD26" i="36" s="1"/>
  <c r="Y27" i="17"/>
  <c r="I27" i="17"/>
  <c r="G28" i="17" s="1"/>
  <c r="AA26" i="17"/>
  <c r="C26" i="6"/>
  <c r="E26" i="6" s="1"/>
  <c r="E32" i="8"/>
  <c r="X32" i="8" s="1"/>
  <c r="N27" i="10"/>
  <c r="U27" i="10" s="1"/>
  <c r="Y33" i="27"/>
  <c r="J24" i="6"/>
  <c r="L24" i="6" s="1"/>
  <c r="C30" i="8"/>
  <c r="L36" i="5"/>
  <c r="AA36" i="5" s="1"/>
  <c r="K37" i="5"/>
  <c r="J20" i="6"/>
  <c r="L20" i="6" s="1"/>
  <c r="C26" i="8"/>
  <c r="D35" i="9"/>
  <c r="D35" i="8"/>
  <c r="Z39" i="5"/>
  <c r="M35" i="5"/>
  <c r="M34" i="27"/>
  <c r="Y34" i="5"/>
  <c r="E26" i="8"/>
  <c r="C20" i="6"/>
  <c r="E20" i="6" s="1"/>
  <c r="X25" i="8"/>
  <c r="R25" i="8"/>
  <c r="L25" i="8"/>
  <c r="J36" i="5"/>
  <c r="J37" i="5" s="1"/>
  <c r="X31" i="8"/>
  <c r="L31" i="8"/>
  <c r="D30" i="5"/>
  <c r="N43" i="27"/>
  <c r="O42" i="27"/>
  <c r="AA42" i="27" s="1"/>
  <c r="D31" i="40" s="1"/>
  <c r="V31" i="40" s="1"/>
  <c r="P29" i="40"/>
  <c r="D35" i="39"/>
  <c r="E35" i="10"/>
  <c r="I34" i="10"/>
  <c r="K34" i="10"/>
  <c r="J37" i="19"/>
  <c r="J36" i="27"/>
  <c r="M38" i="19"/>
  <c r="P36" i="27"/>
  <c r="B36" i="28"/>
  <c r="C35" i="28"/>
  <c r="W32" i="29"/>
  <c r="U33" i="29" s="1"/>
  <c r="U34" i="29" s="1"/>
  <c r="B36" i="29"/>
  <c r="C35" i="29"/>
  <c r="Y30" i="34"/>
  <c r="V30" i="34"/>
  <c r="S29" i="34"/>
  <c r="AA30" i="29"/>
  <c r="R30" i="34"/>
  <c r="AC30" i="29" s="1"/>
  <c r="M31" i="29"/>
  <c r="O31" i="29"/>
  <c r="J30" i="29"/>
  <c r="L30" i="29"/>
  <c r="AH32" i="34"/>
  <c r="AF33" i="34" s="1"/>
  <c r="S33" i="28"/>
  <c r="U33" i="36"/>
  <c r="U33" i="28" s="1"/>
  <c r="P31" i="28"/>
  <c r="R31" i="36"/>
  <c r="F28" i="36"/>
  <c r="X32" i="28"/>
  <c r="AH32" i="36"/>
  <c r="AF33" i="36" s="1"/>
  <c r="N41" i="19"/>
  <c r="O40" i="19"/>
  <c r="K40" i="19"/>
  <c r="L39" i="19"/>
  <c r="G36" i="27"/>
  <c r="Y36" i="19"/>
  <c r="AA37" i="19"/>
  <c r="U22" i="10"/>
  <c r="O22" i="10"/>
  <c r="Y29" i="27"/>
  <c r="I18" i="40" s="1"/>
  <c r="N23" i="10"/>
  <c r="E23" i="10"/>
  <c r="D23" i="39"/>
  <c r="K22" i="39"/>
  <c r="K22" i="10"/>
  <c r="I22" i="10"/>
  <c r="X16" i="40" l="1"/>
  <c r="O16" i="40"/>
  <c r="AB31" i="34"/>
  <c r="I31" i="34"/>
  <c r="AD31" i="34" s="1"/>
  <c r="G32" i="34"/>
  <c r="P15" i="40"/>
  <c r="Y15" i="40"/>
  <c r="Q16" i="40"/>
  <c r="Z16" i="40"/>
  <c r="F29" i="26"/>
  <c r="R29" i="26" s="1"/>
  <c r="D23" i="10" s="1"/>
  <c r="P29" i="26"/>
  <c r="L23" i="10" s="1"/>
  <c r="AD34" i="22"/>
  <c r="AA47" i="22"/>
  <c r="AA48" i="22"/>
  <c r="M28" i="10"/>
  <c r="T28" i="10"/>
  <c r="P35" i="26"/>
  <c r="L29" i="10" s="1"/>
  <c r="G36" i="26"/>
  <c r="AH28" i="35"/>
  <c r="AS28" i="29" s="1"/>
  <c r="AQ28" i="29"/>
  <c r="M17" i="40" s="1"/>
  <c r="J19" i="10"/>
  <c r="J50" i="10" s="1"/>
  <c r="AC28" i="17"/>
  <c r="I26" i="28"/>
  <c r="P27" i="29"/>
  <c r="X27" i="29"/>
  <c r="AD27" i="35"/>
  <c r="AO27" i="29" s="1"/>
  <c r="I27" i="29"/>
  <c r="L16" i="40"/>
  <c r="M21" i="39"/>
  <c r="G28" i="35"/>
  <c r="L20" i="39"/>
  <c r="P20" i="10"/>
  <c r="Q20" i="10" s="1"/>
  <c r="AA26" i="28"/>
  <c r="E15" i="40" s="1"/>
  <c r="N15" i="40" s="1"/>
  <c r="G27" i="36"/>
  <c r="AB27" i="36" s="1"/>
  <c r="Y27" i="28" s="1"/>
  <c r="J16" i="40" s="1"/>
  <c r="AA27" i="17"/>
  <c r="Y28" i="17"/>
  <c r="I28" i="17"/>
  <c r="G29" i="17" s="1"/>
  <c r="Y34" i="27"/>
  <c r="J25" i="6"/>
  <c r="L25" i="6" s="1"/>
  <c r="N28" i="10"/>
  <c r="C31" i="8"/>
  <c r="E33" i="8"/>
  <c r="X33" i="8" s="1"/>
  <c r="C27" i="6"/>
  <c r="E27" i="6" s="1"/>
  <c r="I22" i="40"/>
  <c r="K27" i="39"/>
  <c r="M36" i="5"/>
  <c r="M35" i="27"/>
  <c r="Y35" i="5"/>
  <c r="K38" i="5"/>
  <c r="L37" i="5"/>
  <c r="AA37" i="5" s="1"/>
  <c r="F30" i="5"/>
  <c r="AA30" i="5" s="1"/>
  <c r="Y30" i="5"/>
  <c r="L26" i="8"/>
  <c r="X26" i="8"/>
  <c r="R26" i="8"/>
  <c r="Z40" i="5"/>
  <c r="D36" i="9"/>
  <c r="D36" i="8"/>
  <c r="K35" i="10"/>
  <c r="I35" i="10"/>
  <c r="E36" i="10"/>
  <c r="D36" i="39"/>
  <c r="P30" i="40"/>
  <c r="N44" i="27"/>
  <c r="O43" i="27"/>
  <c r="AA43" i="27" s="1"/>
  <c r="D32" i="40" s="1"/>
  <c r="V32" i="40" s="1"/>
  <c r="J38" i="19"/>
  <c r="J37" i="27"/>
  <c r="M39" i="19"/>
  <c r="H17" i="40"/>
  <c r="B37" i="28"/>
  <c r="C36" i="28"/>
  <c r="W34" i="29"/>
  <c r="U35" i="29" s="1"/>
  <c r="C36" i="29"/>
  <c r="B37" i="29"/>
  <c r="AJ30" i="29"/>
  <c r="AA30" i="34"/>
  <c r="AL30" i="29" s="1"/>
  <c r="AG30" i="29"/>
  <c r="X30" i="34"/>
  <c r="AI30" i="29" s="1"/>
  <c r="AD29" i="29"/>
  <c r="U29" i="34"/>
  <c r="AF29" i="29" s="1"/>
  <c r="P31" i="34"/>
  <c r="M32" i="29"/>
  <c r="O32" i="29"/>
  <c r="AH33" i="34"/>
  <c r="AF34" i="34" s="1"/>
  <c r="S34" i="36"/>
  <c r="R31" i="28"/>
  <c r="P32" i="36"/>
  <c r="D29" i="36"/>
  <c r="V33" i="28"/>
  <c r="AH33" i="36"/>
  <c r="AF34" i="36" s="1"/>
  <c r="O41" i="19"/>
  <c r="N42" i="19"/>
  <c r="L40" i="19"/>
  <c r="K41" i="19"/>
  <c r="AA38" i="19"/>
  <c r="Y37" i="19"/>
  <c r="G37" i="27"/>
  <c r="I23" i="10"/>
  <c r="K23" i="10"/>
  <c r="K23" i="39"/>
  <c r="O23" i="10"/>
  <c r="U23" i="10"/>
  <c r="Y30" i="19"/>
  <c r="AA30" i="27"/>
  <c r="D19" i="40" s="1"/>
  <c r="V19" i="40" s="1"/>
  <c r="AA30" i="19"/>
  <c r="G33" i="34" l="1"/>
  <c r="I32" i="34"/>
  <c r="AD32" i="34" s="1"/>
  <c r="AB32" i="34"/>
  <c r="Q17" i="40"/>
  <c r="Z17" i="40"/>
  <c r="W15" i="40"/>
  <c r="M23" i="10"/>
  <c r="T23" i="10"/>
  <c r="D30" i="26"/>
  <c r="AA54" i="22"/>
  <c r="AA52" i="22"/>
  <c r="AA53" i="22"/>
  <c r="AD48" i="22"/>
  <c r="AD47" i="22"/>
  <c r="AB35" i="22"/>
  <c r="P36" i="26"/>
  <c r="L30" i="10" s="1"/>
  <c r="G37" i="26"/>
  <c r="T29" i="10"/>
  <c r="M29" i="10"/>
  <c r="AF29" i="35"/>
  <c r="AC28" i="28"/>
  <c r="K17" i="40" s="1"/>
  <c r="AE28" i="17"/>
  <c r="F20" i="10"/>
  <c r="J20" i="10" s="1"/>
  <c r="V20" i="10"/>
  <c r="G27" i="28"/>
  <c r="G16" i="40"/>
  <c r="F21" i="39"/>
  <c r="AB28" i="35"/>
  <c r="AM28" i="29" s="1"/>
  <c r="I28" i="35"/>
  <c r="G29" i="35" s="1"/>
  <c r="G28" i="29"/>
  <c r="Z27" i="29"/>
  <c r="R27" i="29"/>
  <c r="P21" i="10"/>
  <c r="V21" i="10" s="1"/>
  <c r="L21" i="39"/>
  <c r="E20" i="39"/>
  <c r="I27" i="36"/>
  <c r="AD27" i="36" s="1"/>
  <c r="AA27" i="28" s="1"/>
  <c r="Y29" i="17"/>
  <c r="I29" i="17"/>
  <c r="AA28" i="17"/>
  <c r="J21" i="6"/>
  <c r="L21" i="6" s="1"/>
  <c r="C27" i="8"/>
  <c r="L38" i="5"/>
  <c r="AA38" i="5" s="1"/>
  <c r="K39" i="5"/>
  <c r="O28" i="10"/>
  <c r="U28" i="10"/>
  <c r="E34" i="8"/>
  <c r="X34" i="8" s="1"/>
  <c r="C28" i="6"/>
  <c r="E28" i="6" s="1"/>
  <c r="J26" i="6"/>
  <c r="L26" i="6" s="1"/>
  <c r="Y35" i="27"/>
  <c r="C32" i="8"/>
  <c r="N29" i="10"/>
  <c r="U29" i="10" s="1"/>
  <c r="C21" i="6"/>
  <c r="E21" i="6" s="1"/>
  <c r="E27" i="8"/>
  <c r="M37" i="5"/>
  <c r="M36" i="27"/>
  <c r="Y36" i="5"/>
  <c r="D37" i="9"/>
  <c r="D37" i="8"/>
  <c r="Z41" i="5"/>
  <c r="D31" i="5"/>
  <c r="J38" i="5"/>
  <c r="J39" i="5" s="1"/>
  <c r="I23" i="40"/>
  <c r="K28" i="39"/>
  <c r="E37" i="10"/>
  <c r="D37" i="39"/>
  <c r="N45" i="27"/>
  <c r="O44" i="27"/>
  <c r="AA44" i="27" s="1"/>
  <c r="D33" i="40" s="1"/>
  <c r="V33" i="40" s="1"/>
  <c r="P31" i="40"/>
  <c r="K36" i="10"/>
  <c r="I36" i="10"/>
  <c r="J39" i="19"/>
  <c r="M40" i="19"/>
  <c r="C37" i="28"/>
  <c r="B38" i="28"/>
  <c r="W35" i="29"/>
  <c r="C37" i="29"/>
  <c r="B38" i="29"/>
  <c r="Y31" i="34"/>
  <c r="V31" i="34"/>
  <c r="S30" i="34"/>
  <c r="AA31" i="29"/>
  <c r="R31" i="34"/>
  <c r="AC31" i="29" s="1"/>
  <c r="J31" i="29"/>
  <c r="L31" i="29"/>
  <c r="AH34" i="34"/>
  <c r="AF35" i="34" s="1"/>
  <c r="AH35" i="34" s="1"/>
  <c r="S34" i="28"/>
  <c r="U34" i="36"/>
  <c r="U34" i="28" s="1"/>
  <c r="P32" i="28"/>
  <c r="R32" i="36"/>
  <c r="F29" i="36"/>
  <c r="X33" i="28"/>
  <c r="AH34" i="36"/>
  <c r="AF35" i="36" s="1"/>
  <c r="AH35" i="36" s="1"/>
  <c r="O42" i="19"/>
  <c r="N43" i="19"/>
  <c r="L41" i="19"/>
  <c r="K42" i="19"/>
  <c r="G38" i="27"/>
  <c r="Y38" i="19"/>
  <c r="AA39" i="19"/>
  <c r="D24" i="39"/>
  <c r="E24" i="10"/>
  <c r="N24" i="10"/>
  <c r="Y30" i="27"/>
  <c r="I19" i="40" s="1"/>
  <c r="AB33" i="34" l="1"/>
  <c r="I33" i="34"/>
  <c r="P16" i="40"/>
  <c r="Y16" i="40"/>
  <c r="F30" i="26"/>
  <c r="R30" i="26" s="1"/>
  <c r="D24" i="10" s="1"/>
  <c r="D51" i="10" s="1"/>
  <c r="P30" i="26"/>
  <c r="L24" i="10" s="1"/>
  <c r="AD54" i="22"/>
  <c r="AD52" i="22"/>
  <c r="AD53" i="22"/>
  <c r="G38" i="26"/>
  <c r="P37" i="26"/>
  <c r="L31" i="10" s="1"/>
  <c r="M30" i="10"/>
  <c r="T30" i="10"/>
  <c r="AQ29" i="29"/>
  <c r="M18" i="40" s="1"/>
  <c r="AH29" i="35"/>
  <c r="AS29" i="29" s="1"/>
  <c r="H18" i="40" s="1"/>
  <c r="AE28" i="28"/>
  <c r="F17" i="40" s="1"/>
  <c r="AC29" i="17"/>
  <c r="Q21" i="10"/>
  <c r="AB29" i="35"/>
  <c r="AM29" i="29" s="1"/>
  <c r="I29" i="35"/>
  <c r="G29" i="29"/>
  <c r="L17" i="40"/>
  <c r="M22" i="39"/>
  <c r="AD28" i="35"/>
  <c r="AO28" i="29" s="1"/>
  <c r="I28" i="29"/>
  <c r="P28" i="29"/>
  <c r="X28" i="29"/>
  <c r="E21" i="39"/>
  <c r="F21" i="10"/>
  <c r="J21" i="10" s="1"/>
  <c r="E16" i="40"/>
  <c r="N16" i="40" s="1"/>
  <c r="I27" i="28"/>
  <c r="G28" i="36"/>
  <c r="AB28" i="36" s="1"/>
  <c r="Y28" i="28" s="1"/>
  <c r="J17" i="40" s="1"/>
  <c r="AA29" i="17"/>
  <c r="G30" i="17"/>
  <c r="D32" i="5"/>
  <c r="F31" i="5"/>
  <c r="AA31" i="5" s="1"/>
  <c r="Y31" i="5"/>
  <c r="J27" i="6"/>
  <c r="L27" i="6" s="1"/>
  <c r="Y36" i="27"/>
  <c r="C33" i="8"/>
  <c r="N30" i="10"/>
  <c r="R27" i="8"/>
  <c r="L27" i="8"/>
  <c r="X27" i="8"/>
  <c r="I24" i="40"/>
  <c r="K29" i="39"/>
  <c r="Y38" i="5"/>
  <c r="J29" i="6" s="1"/>
  <c r="L29" i="6" s="1"/>
  <c r="Z42" i="5"/>
  <c r="D38" i="9"/>
  <c r="D38" i="8"/>
  <c r="J38" i="27"/>
  <c r="M38" i="5"/>
  <c r="M37" i="27"/>
  <c r="Y37" i="5"/>
  <c r="K40" i="5"/>
  <c r="L39" i="5"/>
  <c r="AA39" i="5" s="1"/>
  <c r="J40" i="5"/>
  <c r="E35" i="8"/>
  <c r="X35" i="8" s="1"/>
  <c r="C29" i="6"/>
  <c r="E29" i="6" s="1"/>
  <c r="N46" i="27"/>
  <c r="O46" i="27" s="1"/>
  <c r="AA46" i="27" s="1"/>
  <c r="D35" i="40" s="1"/>
  <c r="V35" i="40" s="1"/>
  <c r="O45" i="27"/>
  <c r="AA45" i="27" s="1"/>
  <c r="D34" i="40" s="1"/>
  <c r="V34" i="40" s="1"/>
  <c r="P32" i="40"/>
  <c r="D38" i="39"/>
  <c r="E38" i="10"/>
  <c r="K37" i="10"/>
  <c r="I37" i="10"/>
  <c r="J40" i="19"/>
  <c r="J39" i="27"/>
  <c r="M41" i="19"/>
  <c r="B39" i="28"/>
  <c r="C38" i="28"/>
  <c r="C38" i="29"/>
  <c r="B39" i="29"/>
  <c r="W48" i="29"/>
  <c r="W47" i="29"/>
  <c r="U36" i="29"/>
  <c r="AJ31" i="29"/>
  <c r="AA31" i="34"/>
  <c r="AL31" i="29" s="1"/>
  <c r="AG31" i="29"/>
  <c r="X31" i="34"/>
  <c r="AI31" i="29" s="1"/>
  <c r="AD30" i="29"/>
  <c r="U30" i="34"/>
  <c r="AF30" i="29" s="1"/>
  <c r="P32" i="34"/>
  <c r="M33" i="29"/>
  <c r="O33" i="29"/>
  <c r="AH47" i="34"/>
  <c r="AH48" i="34"/>
  <c r="S35" i="36"/>
  <c r="R32" i="28"/>
  <c r="P33" i="36"/>
  <c r="D30" i="36"/>
  <c r="V34" i="28"/>
  <c r="AH48" i="36"/>
  <c r="AH47" i="36"/>
  <c r="N44" i="19"/>
  <c r="O43" i="19"/>
  <c r="K43" i="19"/>
  <c r="L42" i="19"/>
  <c r="AA40" i="19"/>
  <c r="Y39" i="19"/>
  <c r="G39" i="27"/>
  <c r="O24" i="10"/>
  <c r="U24" i="10"/>
  <c r="K24" i="10"/>
  <c r="K51" i="10" s="1"/>
  <c r="I24" i="10"/>
  <c r="I51" i="10" s="1"/>
  <c r="E51" i="10"/>
  <c r="Y31" i="19"/>
  <c r="AA31" i="27"/>
  <c r="D20" i="40" s="1"/>
  <c r="V20" i="40" s="1"/>
  <c r="AA31" i="19"/>
  <c r="K24" i="39"/>
  <c r="X17" i="40" l="1"/>
  <c r="O17" i="40"/>
  <c r="G34" i="34"/>
  <c r="AD33" i="34"/>
  <c r="W16" i="40"/>
  <c r="Q18" i="40"/>
  <c r="Z18" i="40"/>
  <c r="Y38" i="27"/>
  <c r="I27" i="40" s="1"/>
  <c r="N32" i="10"/>
  <c r="C35" i="8"/>
  <c r="T24" i="10"/>
  <c r="M24" i="10"/>
  <c r="D31" i="26"/>
  <c r="T31" i="10"/>
  <c r="M31" i="10"/>
  <c r="P38" i="26"/>
  <c r="L32" i="10" s="1"/>
  <c r="G39" i="26"/>
  <c r="AF30" i="35"/>
  <c r="AE29" i="17"/>
  <c r="AE29" i="28" s="1"/>
  <c r="F18" i="40" s="1"/>
  <c r="AC29" i="28"/>
  <c r="K18" i="40" s="1"/>
  <c r="G28" i="28"/>
  <c r="I28" i="36"/>
  <c r="AD28" i="36" s="1"/>
  <c r="AA28" i="28" s="1"/>
  <c r="R28" i="29"/>
  <c r="Z28" i="29"/>
  <c r="X29" i="29"/>
  <c r="P29" i="29"/>
  <c r="G17" i="40"/>
  <c r="F22" i="39"/>
  <c r="AD29" i="35"/>
  <c r="AO29" i="29" s="1"/>
  <c r="I29" i="29"/>
  <c r="L18" i="40"/>
  <c r="M23" i="39"/>
  <c r="G30" i="35"/>
  <c r="L22" i="39"/>
  <c r="P22" i="10"/>
  <c r="Y30" i="17"/>
  <c r="I30" i="17"/>
  <c r="L40" i="5"/>
  <c r="AA40" i="5" s="1"/>
  <c r="K41" i="5"/>
  <c r="F32" i="5"/>
  <c r="AA32" i="5" s="1"/>
  <c r="Y32" i="5"/>
  <c r="J28" i="6"/>
  <c r="L28" i="6" s="1"/>
  <c r="N31" i="10"/>
  <c r="C34" i="8"/>
  <c r="Y37" i="27"/>
  <c r="R51" i="8"/>
  <c r="R45" i="8"/>
  <c r="J41" i="5"/>
  <c r="C28" i="8"/>
  <c r="J22" i="6"/>
  <c r="L22" i="6" s="1"/>
  <c r="E36" i="8"/>
  <c r="X36" i="8" s="1"/>
  <c r="C30" i="6"/>
  <c r="E30" i="6" s="1"/>
  <c r="M39" i="5"/>
  <c r="M38" i="27"/>
  <c r="Z43" i="5"/>
  <c r="D39" i="9"/>
  <c r="D39" i="8"/>
  <c r="E28" i="8"/>
  <c r="C22" i="6"/>
  <c r="E22" i="6" s="1"/>
  <c r="I25" i="40"/>
  <c r="K30" i="39"/>
  <c r="I38" i="10"/>
  <c r="K38" i="10"/>
  <c r="E39" i="10"/>
  <c r="E53" i="10" s="1"/>
  <c r="D39" i="39"/>
  <c r="P33" i="40"/>
  <c r="D40" i="39"/>
  <c r="J40" i="27"/>
  <c r="J41" i="19"/>
  <c r="M42" i="19"/>
  <c r="B40" i="28"/>
  <c r="C39" i="28"/>
  <c r="B40" i="29"/>
  <c r="C39" i="29"/>
  <c r="Y32" i="34"/>
  <c r="V32" i="34"/>
  <c r="S31" i="34"/>
  <c r="AA32" i="29"/>
  <c r="R32" i="34"/>
  <c r="AC32" i="29" s="1"/>
  <c r="M34" i="29"/>
  <c r="O34" i="29"/>
  <c r="J32" i="29"/>
  <c r="L32" i="29"/>
  <c r="S35" i="28"/>
  <c r="U35" i="36"/>
  <c r="U35" i="28" s="1"/>
  <c r="P33" i="28"/>
  <c r="R33" i="36"/>
  <c r="F30" i="36"/>
  <c r="X34" i="28"/>
  <c r="N45" i="19"/>
  <c r="O44" i="19"/>
  <c r="K44" i="19"/>
  <c r="L43" i="19"/>
  <c r="Y40" i="19"/>
  <c r="G40" i="27"/>
  <c r="AA41" i="19"/>
  <c r="D25" i="39"/>
  <c r="E25" i="10"/>
  <c r="Y31" i="27"/>
  <c r="I20" i="40" s="1"/>
  <c r="N25" i="10"/>
  <c r="K32" i="39" l="1"/>
  <c r="X18" i="40"/>
  <c r="O18" i="40"/>
  <c r="AB34" i="34"/>
  <c r="I34" i="34"/>
  <c r="AD34" i="34" s="1"/>
  <c r="P17" i="40"/>
  <c r="Y17" i="40"/>
  <c r="F31" i="26"/>
  <c r="R31" i="26" s="1"/>
  <c r="D25" i="10" s="1"/>
  <c r="P31" i="26"/>
  <c r="L25" i="10" s="1"/>
  <c r="P39" i="26"/>
  <c r="L33" i="10" s="1"/>
  <c r="G40" i="26"/>
  <c r="T32" i="10"/>
  <c r="M32" i="10"/>
  <c r="AQ30" i="29"/>
  <c r="M19" i="40" s="1"/>
  <c r="AH30" i="35"/>
  <c r="AS30" i="29" s="1"/>
  <c r="AF31" i="35"/>
  <c r="AC30" i="17"/>
  <c r="G29" i="36"/>
  <c r="G29" i="28" s="1"/>
  <c r="I28" i="28"/>
  <c r="Z29" i="29"/>
  <c r="R29" i="29"/>
  <c r="AB30" i="35"/>
  <c r="AM30" i="29" s="1"/>
  <c r="I30" i="35"/>
  <c r="G30" i="29"/>
  <c r="F23" i="39"/>
  <c r="G18" i="40"/>
  <c r="Q22" i="10"/>
  <c r="V22" i="10"/>
  <c r="E17" i="40"/>
  <c r="N17" i="40" s="1"/>
  <c r="E22" i="39"/>
  <c r="F22" i="10"/>
  <c r="J22" i="10" s="1"/>
  <c r="AA30" i="17"/>
  <c r="G31" i="17"/>
  <c r="C23" i="6"/>
  <c r="E23" i="6" s="1"/>
  <c r="E29" i="8"/>
  <c r="Z44" i="5"/>
  <c r="D40" i="9"/>
  <c r="D40" i="8"/>
  <c r="L28" i="8"/>
  <c r="X28" i="8"/>
  <c r="K42" i="5"/>
  <c r="L41" i="5"/>
  <c r="AA41" i="5" s="1"/>
  <c r="M40" i="5"/>
  <c r="M39" i="27"/>
  <c r="Y39" i="5"/>
  <c r="I26" i="40"/>
  <c r="K31" i="39"/>
  <c r="C29" i="8"/>
  <c r="J23" i="6"/>
  <c r="L23" i="6" s="1"/>
  <c r="C31" i="6"/>
  <c r="E31" i="6" s="1"/>
  <c r="E37" i="8"/>
  <c r="X37" i="8" s="1"/>
  <c r="P35" i="40"/>
  <c r="K39" i="10"/>
  <c r="I39" i="10"/>
  <c r="I53" i="10" s="1"/>
  <c r="J39" i="10"/>
  <c r="P34" i="40"/>
  <c r="J42" i="19"/>
  <c r="J41" i="27"/>
  <c r="M43" i="19"/>
  <c r="H19" i="40"/>
  <c r="C40" i="28"/>
  <c r="B41" i="28"/>
  <c r="C40" i="29"/>
  <c r="B41" i="29"/>
  <c r="AJ32" i="29"/>
  <c r="AA32" i="34"/>
  <c r="AL32" i="29" s="1"/>
  <c r="V33" i="34"/>
  <c r="AG32" i="29"/>
  <c r="X32" i="34"/>
  <c r="AI32" i="29" s="1"/>
  <c r="AD31" i="29"/>
  <c r="U31" i="34"/>
  <c r="AF31" i="29" s="1"/>
  <c r="P33" i="34"/>
  <c r="M35" i="29"/>
  <c r="O35" i="29"/>
  <c r="R33" i="28"/>
  <c r="P34" i="36"/>
  <c r="D31" i="36"/>
  <c r="V35" i="28"/>
  <c r="O45" i="19"/>
  <c r="N46" i="19"/>
  <c r="O46" i="19" s="1"/>
  <c r="L44" i="19"/>
  <c r="K45" i="19"/>
  <c r="L45" i="19" s="1"/>
  <c r="G41" i="27"/>
  <c r="Y41" i="19"/>
  <c r="AA42" i="19"/>
  <c r="Y32" i="19"/>
  <c r="AA32" i="27"/>
  <c r="D21" i="40" s="1"/>
  <c r="AA32" i="19"/>
  <c r="K25" i="10"/>
  <c r="I25" i="10"/>
  <c r="O25" i="10"/>
  <c r="U25" i="10"/>
  <c r="K25" i="39"/>
  <c r="G35" i="34" l="1"/>
  <c r="Q19" i="40"/>
  <c r="Z19" i="40"/>
  <c r="D38" i="40"/>
  <c r="V21" i="40"/>
  <c r="W17" i="40"/>
  <c r="P18" i="40"/>
  <c r="Y18" i="40"/>
  <c r="T25" i="10"/>
  <c r="M25" i="10"/>
  <c r="D32" i="26"/>
  <c r="G41" i="26"/>
  <c r="P40" i="26"/>
  <c r="L34" i="10" s="1"/>
  <c r="M33" i="10"/>
  <c r="T33" i="10"/>
  <c r="AH31" i="35"/>
  <c r="AS31" i="29" s="1"/>
  <c r="AQ31" i="29"/>
  <c r="M20" i="40" s="1"/>
  <c r="AF32" i="35"/>
  <c r="AQ32" i="29" s="1"/>
  <c r="AC30" i="28"/>
  <c r="K19" i="40" s="1"/>
  <c r="AE30" i="17"/>
  <c r="AB29" i="36"/>
  <c r="Y29" i="28" s="1"/>
  <c r="J18" i="40" s="1"/>
  <c r="I29" i="36"/>
  <c r="L19" i="40"/>
  <c r="M24" i="39"/>
  <c r="P30" i="29"/>
  <c r="X30" i="29"/>
  <c r="AD30" i="35"/>
  <c r="AO30" i="29" s="1"/>
  <c r="I30" i="29"/>
  <c r="AH32" i="35"/>
  <c r="AS32" i="29" s="1"/>
  <c r="G31" i="35"/>
  <c r="Y31" i="17"/>
  <c r="I31" i="17"/>
  <c r="M41" i="5"/>
  <c r="M40" i="27"/>
  <c r="Y40" i="5"/>
  <c r="Z45" i="5"/>
  <c r="D41" i="9"/>
  <c r="D41" i="8"/>
  <c r="E38" i="8"/>
  <c r="X38" i="8" s="1"/>
  <c r="C32" i="6"/>
  <c r="E32" i="6" s="1"/>
  <c r="J42" i="5"/>
  <c r="X29" i="8"/>
  <c r="L29" i="8"/>
  <c r="L51" i="8" s="1"/>
  <c r="Y39" i="27"/>
  <c r="J30" i="6"/>
  <c r="L30" i="6" s="1"/>
  <c r="N33" i="10"/>
  <c r="C36" i="8"/>
  <c r="K43" i="5"/>
  <c r="L42" i="5"/>
  <c r="AA42" i="5" s="1"/>
  <c r="J43" i="19"/>
  <c r="J42" i="27"/>
  <c r="M44" i="19"/>
  <c r="AA46" i="5"/>
  <c r="B42" i="28"/>
  <c r="C41" i="28"/>
  <c r="B42" i="29"/>
  <c r="C41" i="29"/>
  <c r="Y33" i="34"/>
  <c r="AG33" i="29"/>
  <c r="X33" i="34"/>
  <c r="AI33" i="29" s="1"/>
  <c r="S32" i="34"/>
  <c r="AA33" i="29"/>
  <c r="R33" i="34"/>
  <c r="AC33" i="29" s="1"/>
  <c r="J33" i="29"/>
  <c r="L33" i="29"/>
  <c r="P34" i="28"/>
  <c r="R34" i="36"/>
  <c r="F31" i="36"/>
  <c r="X35" i="28"/>
  <c r="AA44" i="19"/>
  <c r="AA43" i="19"/>
  <c r="G42" i="27"/>
  <c r="Y42" i="19"/>
  <c r="D26" i="39"/>
  <c r="D42" i="39" s="1"/>
  <c r="E26" i="10"/>
  <c r="AA47" i="27"/>
  <c r="AA48" i="27"/>
  <c r="Y32" i="27"/>
  <c r="I21" i="40" s="1"/>
  <c r="N26" i="10"/>
  <c r="I35" i="34" l="1"/>
  <c r="AD35" i="34" s="1"/>
  <c r="AB35" i="34"/>
  <c r="L45" i="8"/>
  <c r="F32" i="26"/>
  <c r="R32" i="26" s="1"/>
  <c r="P32" i="26"/>
  <c r="L26" i="10" s="1"/>
  <c r="M34" i="10"/>
  <c r="T34" i="10"/>
  <c r="G42" i="26"/>
  <c r="P41" i="26"/>
  <c r="L35" i="10" s="1"/>
  <c r="AF33" i="35"/>
  <c r="AE30" i="28"/>
  <c r="F19" i="40" s="1"/>
  <c r="AC31" i="17"/>
  <c r="I29" i="28"/>
  <c r="G30" i="36"/>
  <c r="AD29" i="36"/>
  <c r="AA29" i="28" s="1"/>
  <c r="L23" i="39"/>
  <c r="P23" i="10"/>
  <c r="AB31" i="35"/>
  <c r="AM31" i="29" s="1"/>
  <c r="I31" i="35"/>
  <c r="G32" i="35" s="1"/>
  <c r="G31" i="29"/>
  <c r="R30" i="29"/>
  <c r="Z30" i="29"/>
  <c r="AQ33" i="29"/>
  <c r="AH33" i="35"/>
  <c r="AS33" i="29" s="1"/>
  <c r="AF34" i="35"/>
  <c r="G19" i="40"/>
  <c r="F24" i="39"/>
  <c r="AA31" i="17"/>
  <c r="G32" i="17"/>
  <c r="J31" i="6"/>
  <c r="L31" i="6" s="1"/>
  <c r="Y40" i="27"/>
  <c r="C37" i="8"/>
  <c r="N34" i="10"/>
  <c r="E39" i="8"/>
  <c r="X39" i="8" s="1"/>
  <c r="C33" i="6"/>
  <c r="E33" i="6" s="1"/>
  <c r="J43" i="5"/>
  <c r="K44" i="5"/>
  <c r="L43" i="5"/>
  <c r="AA43" i="5" s="1"/>
  <c r="I28" i="40"/>
  <c r="K33" i="39"/>
  <c r="D42" i="9"/>
  <c r="D42" i="8"/>
  <c r="Z46" i="5"/>
  <c r="M42" i="5"/>
  <c r="M41" i="27"/>
  <c r="Y41" i="5"/>
  <c r="J44" i="19"/>
  <c r="J43" i="27"/>
  <c r="M45" i="19"/>
  <c r="H20" i="40"/>
  <c r="B43" i="28"/>
  <c r="C42" i="28"/>
  <c r="B43" i="29"/>
  <c r="C42" i="29"/>
  <c r="AJ33" i="29"/>
  <c r="AA33" i="34"/>
  <c r="AL33" i="29" s="1"/>
  <c r="V34" i="34"/>
  <c r="AD32" i="29"/>
  <c r="U32" i="34"/>
  <c r="AF32" i="29" s="1"/>
  <c r="P34" i="34"/>
  <c r="R34" i="28"/>
  <c r="P35" i="36"/>
  <c r="D32" i="36"/>
  <c r="AA46" i="19"/>
  <c r="AA45" i="19"/>
  <c r="G43" i="27"/>
  <c r="Y43" i="19"/>
  <c r="U26" i="10"/>
  <c r="O27" i="10"/>
  <c r="O26" i="10"/>
  <c r="D39" i="40"/>
  <c r="D36" i="40"/>
  <c r="K26" i="39"/>
  <c r="K26" i="10"/>
  <c r="E41" i="10"/>
  <c r="E42" i="10"/>
  <c r="E55" i="10" s="1"/>
  <c r="E52" i="10"/>
  <c r="E54" i="10" s="1"/>
  <c r="X19" i="40" l="1"/>
  <c r="O19" i="40"/>
  <c r="P19" i="40"/>
  <c r="Y19" i="40"/>
  <c r="Q20" i="40"/>
  <c r="Z20" i="40"/>
  <c r="T26" i="10"/>
  <c r="M26" i="10"/>
  <c r="M27" i="10"/>
  <c r="D26" i="10"/>
  <c r="R48" i="26"/>
  <c r="R47" i="26"/>
  <c r="M35" i="10"/>
  <c r="T35" i="10"/>
  <c r="G43" i="26"/>
  <c r="P42" i="26"/>
  <c r="L36" i="10" s="1"/>
  <c r="AC31" i="28"/>
  <c r="K20" i="40" s="1"/>
  <c r="AE31" i="17"/>
  <c r="F23" i="10"/>
  <c r="J23" i="10" s="1"/>
  <c r="E23" i="39"/>
  <c r="E18" i="40"/>
  <c r="N18" i="40" s="1"/>
  <c r="AB30" i="36"/>
  <c r="Y30" i="28" s="1"/>
  <c r="J19" i="40" s="1"/>
  <c r="I30" i="36"/>
  <c r="G30" i="28"/>
  <c r="Q23" i="10"/>
  <c r="V23" i="10"/>
  <c r="AB32" i="35"/>
  <c r="AM32" i="29" s="1"/>
  <c r="I32" i="35"/>
  <c r="G33" i="35" s="1"/>
  <c r="G32" i="29"/>
  <c r="L20" i="40"/>
  <c r="M25" i="39"/>
  <c r="AQ34" i="29"/>
  <c r="AH34" i="35"/>
  <c r="AS34" i="29" s="1"/>
  <c r="AD31" i="35"/>
  <c r="AO31" i="29" s="1"/>
  <c r="I31" i="29"/>
  <c r="X31" i="29"/>
  <c r="P31" i="29"/>
  <c r="Y32" i="17"/>
  <c r="I32" i="17"/>
  <c r="G33" i="17" s="1"/>
  <c r="C34" i="6"/>
  <c r="E34" i="6" s="1"/>
  <c r="E40" i="8"/>
  <c r="K45" i="5"/>
  <c r="L45" i="5" s="1"/>
  <c r="AA45" i="5" s="1"/>
  <c r="L44" i="5"/>
  <c r="AA44" i="5" s="1"/>
  <c r="AA50" i="5" s="1"/>
  <c r="I29" i="40"/>
  <c r="K34" i="39"/>
  <c r="C38" i="8"/>
  <c r="Y41" i="27"/>
  <c r="J32" i="6"/>
  <c r="L32" i="6" s="1"/>
  <c r="N35" i="10"/>
  <c r="M43" i="5"/>
  <c r="M42" i="27"/>
  <c r="Y42" i="5"/>
  <c r="J44" i="5"/>
  <c r="J45" i="19"/>
  <c r="AA50" i="19"/>
  <c r="M46" i="19"/>
  <c r="M21" i="40"/>
  <c r="B44" i="28"/>
  <c r="C43" i="28"/>
  <c r="B44" i="29"/>
  <c r="C43" i="29"/>
  <c r="Y34" i="34"/>
  <c r="V35" i="34"/>
  <c r="AG34" i="29"/>
  <c r="X34" i="34"/>
  <c r="AI34" i="29" s="1"/>
  <c r="S33" i="34"/>
  <c r="AA34" i="29"/>
  <c r="R34" i="34"/>
  <c r="AC34" i="29" s="1"/>
  <c r="J34" i="29"/>
  <c r="L34" i="29"/>
  <c r="P35" i="28"/>
  <c r="R35" i="36"/>
  <c r="F32" i="36"/>
  <c r="AA49" i="19"/>
  <c r="Y46" i="19"/>
  <c r="Y44" i="19"/>
  <c r="G44" i="27"/>
  <c r="E43" i="10"/>
  <c r="E44" i="10" s="1"/>
  <c r="E45" i="10"/>
  <c r="W18" i="40" l="1"/>
  <c r="D41" i="10"/>
  <c r="D42" i="10"/>
  <c r="D55" i="10" s="1"/>
  <c r="D52" i="10"/>
  <c r="D54" i="10" s="1"/>
  <c r="I26" i="10"/>
  <c r="G44" i="26"/>
  <c r="P44" i="26" s="1"/>
  <c r="L38" i="10" s="1"/>
  <c r="P43" i="26"/>
  <c r="L37" i="10" s="1"/>
  <c r="M36" i="10"/>
  <c r="T36" i="10"/>
  <c r="AF35" i="35"/>
  <c r="AB33" i="35"/>
  <c r="AM33" i="29" s="1"/>
  <c r="L22" i="40" s="1"/>
  <c r="I33" i="35"/>
  <c r="G33" i="29"/>
  <c r="X33" i="29" s="1"/>
  <c r="AE31" i="28"/>
  <c r="F20" i="40" s="1"/>
  <c r="AC32" i="17"/>
  <c r="AD30" i="36"/>
  <c r="AA30" i="28" s="1"/>
  <c r="G31" i="36"/>
  <c r="I30" i="28"/>
  <c r="L24" i="39"/>
  <c r="P24" i="10"/>
  <c r="Y33" i="17"/>
  <c r="I33" i="17"/>
  <c r="X32" i="29"/>
  <c r="P32" i="29"/>
  <c r="R31" i="29"/>
  <c r="Z31" i="29"/>
  <c r="AD32" i="35"/>
  <c r="I32" i="29"/>
  <c r="AQ35" i="29"/>
  <c r="AH35" i="35"/>
  <c r="G20" i="40"/>
  <c r="F25" i="39"/>
  <c r="L21" i="40"/>
  <c r="M26" i="39"/>
  <c r="AA32" i="17"/>
  <c r="I30" i="40"/>
  <c r="K35" i="39"/>
  <c r="AA49" i="5"/>
  <c r="J45" i="5"/>
  <c r="J45" i="27" s="1"/>
  <c r="E42" i="8"/>
  <c r="X42" i="8" s="1"/>
  <c r="C36" i="6"/>
  <c r="E36" i="6" s="1"/>
  <c r="M44" i="5"/>
  <c r="M43" i="27"/>
  <c r="Y43" i="5"/>
  <c r="J44" i="27"/>
  <c r="Y42" i="27"/>
  <c r="J33" i="6"/>
  <c r="L33" i="6" s="1"/>
  <c r="C39" i="8"/>
  <c r="N36" i="10"/>
  <c r="X40" i="8"/>
  <c r="E41" i="8"/>
  <c r="X41" i="8" s="1"/>
  <c r="C35" i="6"/>
  <c r="Y45" i="19"/>
  <c r="H21" i="40"/>
  <c r="C44" i="28"/>
  <c r="B45" i="28"/>
  <c r="C45" i="28" s="1"/>
  <c r="B45" i="29"/>
  <c r="C45" i="29" s="1"/>
  <c r="C44" i="29"/>
  <c r="AJ34" i="29"/>
  <c r="AA34" i="34"/>
  <c r="AL34" i="29" s="1"/>
  <c r="AG35" i="29"/>
  <c r="X35" i="34"/>
  <c r="AI35" i="29" s="1"/>
  <c r="AD33" i="29"/>
  <c r="U33" i="34"/>
  <c r="AF33" i="29" s="1"/>
  <c r="P35" i="34"/>
  <c r="I33" i="29"/>
  <c r="M27" i="39"/>
  <c r="R27" i="10"/>
  <c r="R35" i="28"/>
  <c r="X20" i="40" l="1"/>
  <c r="O20" i="40"/>
  <c r="P20" i="40"/>
  <c r="Y20" i="40"/>
  <c r="Q21" i="40"/>
  <c r="Z21" i="40"/>
  <c r="E46" i="8"/>
  <c r="W46" i="8" s="1"/>
  <c r="W47" i="8" s="1"/>
  <c r="E50" i="8"/>
  <c r="I41" i="10"/>
  <c r="I52" i="10"/>
  <c r="I54" i="10" s="1"/>
  <c r="I42" i="10"/>
  <c r="I55" i="10" s="1"/>
  <c r="D45" i="10"/>
  <c r="D43" i="10"/>
  <c r="D44" i="10" s="1"/>
  <c r="M37" i="10"/>
  <c r="T37" i="10"/>
  <c r="M39" i="10"/>
  <c r="M38" i="10"/>
  <c r="T38" i="10"/>
  <c r="P33" i="29"/>
  <c r="G34" i="35"/>
  <c r="AD33" i="35"/>
  <c r="AE32" i="17"/>
  <c r="AE32" i="28" s="1"/>
  <c r="F21" i="40" s="1"/>
  <c r="AC32" i="28"/>
  <c r="K21" i="40" s="1"/>
  <c r="I31" i="36"/>
  <c r="AB31" i="36"/>
  <c r="Y31" i="28" s="1"/>
  <c r="J20" i="40" s="1"/>
  <c r="G31" i="28"/>
  <c r="V24" i="10"/>
  <c r="Q24" i="10"/>
  <c r="F24" i="10"/>
  <c r="E24" i="39"/>
  <c r="E19" i="40"/>
  <c r="N19" i="40" s="1"/>
  <c r="AA33" i="17"/>
  <c r="G34" i="17"/>
  <c r="AS35" i="29"/>
  <c r="AH48" i="35"/>
  <c r="AH47" i="35"/>
  <c r="Z32" i="29"/>
  <c r="R32" i="29"/>
  <c r="AO32" i="29"/>
  <c r="E35" i="6"/>
  <c r="C38" i="6"/>
  <c r="E38" i="6" s="1"/>
  <c r="C39" i="6"/>
  <c r="E39" i="6" s="1"/>
  <c r="I31" i="40"/>
  <c r="K36" i="39"/>
  <c r="M45" i="5"/>
  <c r="M44" i="27"/>
  <c r="Y44" i="5"/>
  <c r="K50" i="8"/>
  <c r="K51" i="8" s="1"/>
  <c r="AB25" i="10" s="1"/>
  <c r="AA47" i="11" s="1"/>
  <c r="Q50" i="8"/>
  <c r="Q51" i="8" s="1"/>
  <c r="AC25" i="10" s="1"/>
  <c r="AB47" i="11" s="1"/>
  <c r="W50" i="8"/>
  <c r="W51" i="8" s="1"/>
  <c r="AD25" i="10" s="1"/>
  <c r="AC47" i="11" s="1"/>
  <c r="X51" i="8"/>
  <c r="X45" i="8"/>
  <c r="Y45" i="5"/>
  <c r="Y45" i="27" s="1"/>
  <c r="Q46" i="8"/>
  <c r="Q47" i="8" s="1"/>
  <c r="AA23" i="10"/>
  <c r="C40" i="8"/>
  <c r="Y43" i="27"/>
  <c r="J34" i="6"/>
  <c r="L34" i="6" s="1"/>
  <c r="N37" i="10"/>
  <c r="M22" i="40"/>
  <c r="Y35" i="34"/>
  <c r="S34" i="34"/>
  <c r="AA35" i="29"/>
  <c r="R35" i="34"/>
  <c r="AC35" i="29" s="1"/>
  <c r="J35" i="29"/>
  <c r="L35" i="29"/>
  <c r="AO33" i="29"/>
  <c r="G22" i="40" s="1"/>
  <c r="Y22" i="40" s="1"/>
  <c r="Z33" i="29"/>
  <c r="R33" i="29"/>
  <c r="X21" i="40" l="1"/>
  <c r="O21" i="40"/>
  <c r="W19" i="40"/>
  <c r="N39" i="10"/>
  <c r="J36" i="6"/>
  <c r="L36" i="6" s="1"/>
  <c r="K46" i="8"/>
  <c r="K47" i="8" s="1"/>
  <c r="C42" i="8"/>
  <c r="AC33" i="17"/>
  <c r="AC33" i="28" s="1"/>
  <c r="K22" i="40" s="1"/>
  <c r="AB34" i="35"/>
  <c r="AM34" i="29" s="1"/>
  <c r="L23" i="40" s="1"/>
  <c r="I34" i="35"/>
  <c r="G34" i="29"/>
  <c r="P34" i="29" s="1"/>
  <c r="AE33" i="17"/>
  <c r="AE33" i="28" s="1"/>
  <c r="F22" i="40" s="1"/>
  <c r="J24" i="10"/>
  <c r="J51" i="10" s="1"/>
  <c r="F51" i="10"/>
  <c r="L25" i="39"/>
  <c r="P25" i="10"/>
  <c r="V25" i="10" s="1"/>
  <c r="G32" i="36"/>
  <c r="I31" i="28"/>
  <c r="AD31" i="36"/>
  <c r="AA31" i="28" s="1"/>
  <c r="Y34" i="17"/>
  <c r="I34" i="17"/>
  <c r="G35" i="17" s="1"/>
  <c r="G21" i="40"/>
  <c r="F26" i="39"/>
  <c r="I32" i="40"/>
  <c r="K37" i="39"/>
  <c r="N38" i="10"/>
  <c r="J35" i="6"/>
  <c r="L35" i="6" s="1"/>
  <c r="Y44" i="27"/>
  <c r="C41" i="8"/>
  <c r="AC24" i="10"/>
  <c r="AB46" i="11" s="1"/>
  <c r="Z45" i="11"/>
  <c r="AB24" i="10"/>
  <c r="AA46" i="11" s="1"/>
  <c r="AD24" i="10"/>
  <c r="AC46" i="11" s="1"/>
  <c r="M46" i="5"/>
  <c r="M45" i="27"/>
  <c r="I34" i="40"/>
  <c r="K39" i="39"/>
  <c r="H22" i="40"/>
  <c r="AJ35" i="29"/>
  <c r="AA35" i="34"/>
  <c r="AL35" i="29" s="1"/>
  <c r="AD34" i="29"/>
  <c r="U34" i="34"/>
  <c r="AF34" i="29" s="1"/>
  <c r="R28" i="10"/>
  <c r="X34" i="29"/>
  <c r="G27" i="10"/>
  <c r="F27" i="39"/>
  <c r="X22" i="40" l="1"/>
  <c r="O22" i="40"/>
  <c r="Q22" i="40"/>
  <c r="Z22" i="40"/>
  <c r="P21" i="40"/>
  <c r="Y21" i="40"/>
  <c r="G35" i="35"/>
  <c r="AD34" i="35"/>
  <c r="I34" i="29"/>
  <c r="Z34" i="29" s="1"/>
  <c r="M28" i="39"/>
  <c r="AC34" i="17"/>
  <c r="E25" i="39"/>
  <c r="E20" i="40"/>
  <c r="N20" i="40" s="1"/>
  <c r="F25" i="10"/>
  <c r="J25" i="10" s="1"/>
  <c r="AB32" i="36"/>
  <c r="Y32" i="28" s="1"/>
  <c r="J21" i="40" s="1"/>
  <c r="G32" i="28"/>
  <c r="I32" i="36"/>
  <c r="AA34" i="17"/>
  <c r="Y35" i="17"/>
  <c r="I35" i="17"/>
  <c r="Y46" i="5"/>
  <c r="Y46" i="27" s="1"/>
  <c r="M46" i="27"/>
  <c r="I33" i="40"/>
  <c r="K38" i="39"/>
  <c r="M23" i="40"/>
  <c r="AO34" i="29"/>
  <c r="G23" i="40" s="1"/>
  <c r="Y23" i="40" s="1"/>
  <c r="S35" i="34"/>
  <c r="K27" i="10"/>
  <c r="P22" i="40"/>
  <c r="G35" i="29"/>
  <c r="W20" i="40" l="1"/>
  <c r="R34" i="29"/>
  <c r="Y36" i="17"/>
  <c r="I35" i="35"/>
  <c r="AD35" i="35" s="1"/>
  <c r="AD48" i="35" s="1"/>
  <c r="AH51" i="35" s="1"/>
  <c r="AB35" i="35"/>
  <c r="AM35" i="29" s="1"/>
  <c r="L24" i="40" s="1"/>
  <c r="AE34" i="17"/>
  <c r="AC34" i="28"/>
  <c r="K23" i="40" s="1"/>
  <c r="AD32" i="36"/>
  <c r="AA32" i="28" s="1"/>
  <c r="I32" i="28"/>
  <c r="L26" i="39"/>
  <c r="P26" i="10"/>
  <c r="G33" i="36"/>
  <c r="AA35" i="17"/>
  <c r="I35" i="40"/>
  <c r="K40" i="39"/>
  <c r="K42" i="39" s="1"/>
  <c r="H23" i="40"/>
  <c r="AD35" i="29"/>
  <c r="U35" i="34"/>
  <c r="AF35" i="29" s="1"/>
  <c r="F28" i="39"/>
  <c r="X35" i="29"/>
  <c r="R29" i="10"/>
  <c r="P35" i="29"/>
  <c r="G28" i="10"/>
  <c r="I35" i="29"/>
  <c r="Q23" i="40" l="1"/>
  <c r="Z23" i="40"/>
  <c r="AA36" i="17"/>
  <c r="AD47" i="35"/>
  <c r="AH50" i="35" s="1"/>
  <c r="M29" i="39"/>
  <c r="M42" i="39" s="1"/>
  <c r="AE34" i="28"/>
  <c r="AC35" i="17"/>
  <c r="I33" i="36"/>
  <c r="G33" i="28"/>
  <c r="AB33" i="36"/>
  <c r="Y33" i="28" s="1"/>
  <c r="J22" i="40" s="1"/>
  <c r="E26" i="39"/>
  <c r="F26" i="10"/>
  <c r="J26" i="10" s="1"/>
  <c r="E21" i="40"/>
  <c r="N21" i="40" s="1"/>
  <c r="M24" i="40"/>
  <c r="R35" i="29"/>
  <c r="Z35" i="29"/>
  <c r="K28" i="10"/>
  <c r="P23" i="40"/>
  <c r="AO35" i="29"/>
  <c r="G24" i="40" s="1"/>
  <c r="AD48" i="34"/>
  <c r="AH51" i="34" s="1"/>
  <c r="AD47" i="34"/>
  <c r="AH50" i="34" s="1"/>
  <c r="G38" i="40" l="1"/>
  <c r="Y24" i="40"/>
  <c r="W21" i="40"/>
  <c r="Y37" i="17"/>
  <c r="AC35" i="28"/>
  <c r="K24" i="40" s="1"/>
  <c r="AE35" i="17"/>
  <c r="F23" i="40"/>
  <c r="AD33" i="36"/>
  <c r="AA33" i="28" s="1"/>
  <c r="I33" i="28"/>
  <c r="G34" i="36"/>
  <c r="L27" i="39"/>
  <c r="P27" i="10"/>
  <c r="H24" i="40"/>
  <c r="AS47" i="29"/>
  <c r="AS48" i="29"/>
  <c r="F29" i="39"/>
  <c r="F42" i="39" s="1"/>
  <c r="AO47" i="29"/>
  <c r="AO48" i="29"/>
  <c r="X23" i="40" l="1"/>
  <c r="O23" i="40"/>
  <c r="H38" i="40"/>
  <c r="Z24" i="40"/>
  <c r="P36" i="29"/>
  <c r="X36" i="29"/>
  <c r="AA37" i="17"/>
  <c r="AE35" i="28"/>
  <c r="AE47" i="17"/>
  <c r="AE48" i="17"/>
  <c r="E27" i="39"/>
  <c r="E22" i="40"/>
  <c r="N22" i="40" s="1"/>
  <c r="F27" i="10"/>
  <c r="J27" i="10" s="1"/>
  <c r="I34" i="36"/>
  <c r="G34" i="28"/>
  <c r="AB34" i="36"/>
  <c r="Y34" i="28" s="1"/>
  <c r="J23" i="40" s="1"/>
  <c r="AS50" i="29"/>
  <c r="AS51" i="29"/>
  <c r="Q24" i="40"/>
  <c r="H39" i="40"/>
  <c r="H42" i="40" s="1"/>
  <c r="H36" i="40"/>
  <c r="H41" i="40" s="1"/>
  <c r="P24" i="40"/>
  <c r="G39" i="40"/>
  <c r="G42" i="40" s="1"/>
  <c r="G36" i="40"/>
  <c r="G41" i="40" s="1"/>
  <c r="G29" i="10"/>
  <c r="W22" i="40" l="1"/>
  <c r="R36" i="29"/>
  <c r="Z36" i="29"/>
  <c r="Y38" i="17"/>
  <c r="F24" i="40"/>
  <c r="O24" i="40" s="1"/>
  <c r="AE47" i="28"/>
  <c r="AE50" i="28" s="1"/>
  <c r="AE48" i="28"/>
  <c r="AE51" i="28" s="1"/>
  <c r="AD34" i="36"/>
  <c r="AA34" i="28" s="1"/>
  <c r="I34" i="28"/>
  <c r="G35" i="36"/>
  <c r="P28" i="10"/>
  <c r="L28" i="39"/>
  <c r="K29" i="10"/>
  <c r="G41" i="10"/>
  <c r="G52" i="10"/>
  <c r="G54" i="10" s="1"/>
  <c r="G42" i="10"/>
  <c r="G55" i="10" s="1"/>
  <c r="F38" i="40" l="1"/>
  <c r="X24" i="40"/>
  <c r="P37" i="29"/>
  <c r="X37" i="29"/>
  <c r="AA38" i="17"/>
  <c r="F39" i="40"/>
  <c r="F42" i="40" s="1"/>
  <c r="F36" i="40"/>
  <c r="F41" i="40" s="1"/>
  <c r="I35" i="36"/>
  <c r="G35" i="28"/>
  <c r="AB35" i="36"/>
  <c r="Y35" i="28" s="1"/>
  <c r="J24" i="40" s="1"/>
  <c r="F28" i="10"/>
  <c r="J28" i="10" s="1"/>
  <c r="E23" i="40"/>
  <c r="N23" i="40" s="1"/>
  <c r="E28" i="39"/>
  <c r="G45" i="10"/>
  <c r="G43" i="10"/>
  <c r="G44" i="10" s="1"/>
  <c r="K41" i="10"/>
  <c r="K42" i="10"/>
  <c r="K55" i="10" s="1"/>
  <c r="K52" i="10"/>
  <c r="K54" i="10" s="1"/>
  <c r="W23" i="40" l="1"/>
  <c r="G36" i="28"/>
  <c r="AB36" i="36"/>
  <c r="Y36" i="28" s="1"/>
  <c r="Z37" i="29"/>
  <c r="R37" i="29"/>
  <c r="Y39" i="17"/>
  <c r="L29" i="39"/>
  <c r="P29" i="10"/>
  <c r="AD35" i="36"/>
  <c r="I35" i="28"/>
  <c r="I36" i="28" l="1"/>
  <c r="AD36" i="36"/>
  <c r="AA36" i="28" s="1"/>
  <c r="P30" i="10"/>
  <c r="L30" i="39"/>
  <c r="X38" i="29"/>
  <c r="P38" i="29"/>
  <c r="AA39" i="17"/>
  <c r="AA35" i="28"/>
  <c r="G37" i="28" l="1"/>
  <c r="F30" i="10"/>
  <c r="J30" i="10" s="1"/>
  <c r="E30" i="39"/>
  <c r="AB37" i="36"/>
  <c r="Y37" i="28" s="1"/>
  <c r="R38" i="29"/>
  <c r="Z38" i="29"/>
  <c r="Y40" i="17"/>
  <c r="E29" i="39"/>
  <c r="F29" i="10"/>
  <c r="E24" i="40"/>
  <c r="N24" i="40" s="1"/>
  <c r="E38" i="40" l="1"/>
  <c r="W24" i="40"/>
  <c r="I37" i="28"/>
  <c r="L31" i="39"/>
  <c r="P31" i="10"/>
  <c r="AD37" i="36"/>
  <c r="X39" i="29"/>
  <c r="P39" i="29"/>
  <c r="AA40" i="17"/>
  <c r="J29" i="10"/>
  <c r="F52" i="10"/>
  <c r="G38" i="28" l="1"/>
  <c r="AA37" i="28"/>
  <c r="E31" i="39" s="1"/>
  <c r="AB38" i="36"/>
  <c r="Y38" i="28" s="1"/>
  <c r="Z39" i="29"/>
  <c r="R39" i="29"/>
  <c r="Y41" i="17"/>
  <c r="AA41" i="17"/>
  <c r="J52" i="10"/>
  <c r="I38" i="28" l="1"/>
  <c r="F31" i="10"/>
  <c r="J31" i="10" s="1"/>
  <c r="L32" i="39"/>
  <c r="P32" i="10"/>
  <c r="AD38" i="36"/>
  <c r="P40" i="29"/>
  <c r="X40" i="29"/>
  <c r="G39" i="28" l="1"/>
  <c r="AA38" i="28"/>
  <c r="F32" i="10" s="1"/>
  <c r="J32" i="10" s="1"/>
  <c r="AB39" i="36"/>
  <c r="Y39" i="28" s="1"/>
  <c r="R40" i="29"/>
  <c r="Z40" i="29"/>
  <c r="Y42" i="17"/>
  <c r="AA42" i="17"/>
  <c r="I39" i="28" l="1"/>
  <c r="E32" i="39"/>
  <c r="L33" i="39"/>
  <c r="P33" i="10"/>
  <c r="AD39" i="36"/>
  <c r="X41" i="29"/>
  <c r="P41" i="29"/>
  <c r="Y43" i="17"/>
  <c r="G40" i="28" l="1"/>
  <c r="AA39" i="28"/>
  <c r="AB40" i="36"/>
  <c r="Y40" i="28" s="1"/>
  <c r="R41" i="29"/>
  <c r="Z41" i="29"/>
  <c r="AA43" i="17"/>
  <c r="F33" i="10" l="1"/>
  <c r="J33" i="10" s="1"/>
  <c r="E33" i="39"/>
  <c r="I40" i="28"/>
  <c r="AD40" i="36"/>
  <c r="L34" i="39"/>
  <c r="P34" i="10"/>
  <c r="X42" i="29"/>
  <c r="P42" i="29"/>
  <c r="AA44" i="17"/>
  <c r="Y44" i="17"/>
  <c r="G41" i="28" l="1"/>
  <c r="AA40" i="28"/>
  <c r="AB41" i="36"/>
  <c r="Y41" i="28" s="1"/>
  <c r="R42" i="29"/>
  <c r="Z42" i="29"/>
  <c r="AA47" i="17"/>
  <c r="AA48" i="17"/>
  <c r="E34" i="39" l="1"/>
  <c r="I41" i="28"/>
  <c r="F34" i="10"/>
  <c r="J34" i="10" s="1"/>
  <c r="AD41" i="36"/>
  <c r="L35" i="39"/>
  <c r="P35" i="10"/>
  <c r="X43" i="29"/>
  <c r="P43" i="29"/>
  <c r="G55" i="29"/>
  <c r="AE50" i="17"/>
  <c r="G56" i="29"/>
  <c r="AE51" i="17"/>
  <c r="G42" i="28" l="1"/>
  <c r="AA41" i="28"/>
  <c r="AB42" i="36"/>
  <c r="Y42" i="28" s="1"/>
  <c r="Z43" i="29"/>
  <c r="Z48" i="29" s="1"/>
  <c r="R43" i="29"/>
  <c r="F35" i="10" l="1"/>
  <c r="J35" i="10" s="1"/>
  <c r="I42" i="28"/>
  <c r="E35" i="39"/>
  <c r="P36" i="10"/>
  <c r="L36" i="39"/>
  <c r="AD42" i="36"/>
  <c r="AA42" i="28" s="1"/>
  <c r="P44" i="29"/>
  <c r="X44" i="29"/>
  <c r="Z44" i="29"/>
  <c r="Z47" i="29" s="1"/>
  <c r="R44" i="29"/>
  <c r="G43" i="28" l="1"/>
  <c r="E36" i="39"/>
  <c r="F36" i="10"/>
  <c r="AB43" i="36"/>
  <c r="Y43" i="28" s="1"/>
  <c r="R48" i="29"/>
  <c r="I56" i="29" s="1"/>
  <c r="R47" i="29"/>
  <c r="I55" i="29" s="1"/>
  <c r="I43" i="28" l="1"/>
  <c r="J36" i="10"/>
  <c r="AD43" i="36"/>
  <c r="AA43" i="28" s="1"/>
  <c r="L37" i="39"/>
  <c r="P37" i="10"/>
  <c r="G44" i="28" l="1"/>
  <c r="AD44" i="36"/>
  <c r="E37" i="39"/>
  <c r="F37" i="10"/>
  <c r="AB44" i="36"/>
  <c r="Y44" i="28" s="1"/>
  <c r="I44" i="28" l="1"/>
  <c r="J37" i="10"/>
  <c r="AA44" i="28"/>
  <c r="P38" i="10"/>
  <c r="L38" i="39"/>
  <c r="E38" i="39" l="1"/>
  <c r="F38" i="10"/>
  <c r="J38" i="10" s="1"/>
  <c r="J53" i="10" s="1"/>
  <c r="J54" i="10" s="1"/>
  <c r="P39" i="10"/>
  <c r="AB45" i="36"/>
  <c r="Y45" i="28" s="1"/>
  <c r="L39" i="39" s="1"/>
  <c r="L42" i="39" s="1"/>
  <c r="J42" i="10" l="1"/>
  <c r="J55" i="10" s="1"/>
  <c r="J41" i="10"/>
  <c r="F41" i="10"/>
  <c r="F45" i="10" s="1"/>
  <c r="AD45" i="36"/>
  <c r="F53" i="10"/>
  <c r="F54" i="10" s="1"/>
  <c r="F42" i="10"/>
  <c r="F55" i="10" s="1"/>
  <c r="F43" i="10" l="1"/>
  <c r="F44" i="10" s="1"/>
  <c r="AA45" i="28"/>
  <c r="AD47" i="36"/>
  <c r="AH50" i="36" s="1"/>
  <c r="AD48" i="36"/>
  <c r="AH51" i="36" s="1"/>
  <c r="E39" i="39" l="1"/>
  <c r="E42" i="39" s="1"/>
  <c r="AA48" i="28"/>
  <c r="AA47" i="28"/>
  <c r="E39" i="40" l="1"/>
  <c r="E42" i="40" s="1"/>
  <c r="E36" i="40"/>
  <c r="E41" i="40" s="1"/>
</calcChain>
</file>

<file path=xl/comments1.xml><?xml version="1.0" encoding="utf-8"?>
<comments xmlns="http://schemas.openxmlformats.org/spreadsheetml/2006/main">
  <authors>
    <author>Matusiewicz, Dan</author>
  </authors>
  <commentList>
    <comment ref="M15" authorId="0" shapeId="0">
      <text>
        <r>
          <rPr>
            <b/>
            <sz val="9"/>
            <color indexed="81"/>
            <rFont val="Tahoma"/>
            <family val="2"/>
          </rPr>
          <t>Matusiewicz, Dan:</t>
        </r>
        <r>
          <rPr>
            <sz val="9"/>
            <color indexed="81"/>
            <rFont val="Tahoma"/>
            <family val="2"/>
          </rPr>
          <t xml:space="preserve">
7.5%-.6%=6.9% x 2015 MVA
</t>
        </r>
      </text>
    </comment>
    <comment ref="P15" authorId="0" shapeId="0">
      <text>
        <r>
          <rPr>
            <b/>
            <sz val="9"/>
            <color indexed="81"/>
            <rFont val="Tahoma"/>
            <family val="2"/>
          </rPr>
          <t>Matusiewicz, Dan:</t>
        </r>
        <r>
          <rPr>
            <sz val="9"/>
            <color indexed="81"/>
            <rFont val="Tahoma"/>
            <family val="2"/>
          </rPr>
          <t xml:space="preserve">
7.5%-.6%=6.9% x 2015 MVA
</t>
        </r>
      </text>
    </comment>
    <comment ref="S15" authorId="0" shapeId="0">
      <text>
        <r>
          <rPr>
            <b/>
            <sz val="9"/>
            <color indexed="81"/>
            <rFont val="Tahoma"/>
            <family val="2"/>
          </rPr>
          <t>Matusiewicz, Dan:</t>
        </r>
        <r>
          <rPr>
            <sz val="9"/>
            <color indexed="81"/>
            <rFont val="Tahoma"/>
            <family val="2"/>
          </rPr>
          <t xml:space="preserve">
7.5%-.6%=6.9% x 2015 MVA
</t>
        </r>
      </text>
    </comment>
    <comment ref="V15" authorId="0" shapeId="0">
      <text>
        <r>
          <rPr>
            <b/>
            <sz val="9"/>
            <color indexed="81"/>
            <rFont val="Tahoma"/>
            <family val="2"/>
          </rPr>
          <t>Matusiewicz, Dan:</t>
        </r>
        <r>
          <rPr>
            <sz val="9"/>
            <color indexed="81"/>
            <rFont val="Tahoma"/>
            <family val="2"/>
          </rPr>
          <t xml:space="preserve">
7.5%-.6%=6.9% x 2015 MVA
</t>
        </r>
      </text>
    </comment>
  </commentList>
</comments>
</file>

<file path=xl/comments10.xml><?xml version="1.0" encoding="utf-8"?>
<comments xmlns="http://schemas.openxmlformats.org/spreadsheetml/2006/main">
  <authors>
    <author>Matusiewicz, Dan</author>
  </authors>
  <commentList>
    <comment ref="AF15" authorId="0" shapeId="0">
      <text>
        <r>
          <rPr>
            <b/>
            <sz val="9"/>
            <color indexed="81"/>
            <rFont val="Tahoma"/>
            <family val="2"/>
          </rPr>
          <t>Matusiewicz, Dan:</t>
        </r>
        <r>
          <rPr>
            <sz val="9"/>
            <color indexed="81"/>
            <rFont val="Tahoma"/>
            <family val="2"/>
          </rPr>
          <t xml:space="preserve">
2016-17 Roll Forward Balance + 2016 Est Loss
</t>
        </r>
      </text>
    </comment>
  </commentList>
</comments>
</file>

<file path=xl/comments2.xml><?xml version="1.0" encoding="utf-8"?>
<comments xmlns="http://schemas.openxmlformats.org/spreadsheetml/2006/main">
  <authors>
    <author>Matusiewicz, Dan</author>
  </authors>
  <commentList>
    <comment ref="M15" authorId="0" shapeId="0">
      <text>
        <r>
          <rPr>
            <b/>
            <sz val="9"/>
            <color indexed="81"/>
            <rFont val="Tahoma"/>
            <family val="2"/>
          </rPr>
          <t>Matusiewicz, Dan:</t>
        </r>
        <r>
          <rPr>
            <sz val="9"/>
            <color indexed="81"/>
            <rFont val="Tahoma"/>
            <family val="2"/>
          </rPr>
          <t xml:space="preserve">
7.5%-.6%=6.9% x 2015 MVA
</t>
        </r>
      </text>
    </comment>
    <comment ref="Y15" authorId="0" shapeId="0">
      <text>
        <r>
          <rPr>
            <b/>
            <sz val="9"/>
            <color indexed="81"/>
            <rFont val="Tahoma"/>
            <family val="2"/>
          </rPr>
          <t>Matusiewicz, Dan:</t>
        </r>
        <r>
          <rPr>
            <sz val="9"/>
            <color indexed="81"/>
            <rFont val="Tahoma"/>
            <family val="2"/>
          </rPr>
          <t xml:space="preserve">
2016-17 Roll Forward Balance + 2016 Est Loss
</t>
        </r>
      </text>
    </comment>
    <comment ref="AC15" authorId="0" shapeId="0">
      <text>
        <r>
          <rPr>
            <b/>
            <sz val="9"/>
            <color indexed="81"/>
            <rFont val="Tahoma"/>
            <family val="2"/>
          </rPr>
          <t>Matusiewicz, Dan:</t>
        </r>
        <r>
          <rPr>
            <sz val="9"/>
            <color indexed="81"/>
            <rFont val="Tahoma"/>
            <family val="2"/>
          </rPr>
          <t xml:space="preserve">
2016-17 Roll Forward Balance + 2016 Est Loss
</t>
        </r>
      </text>
    </comment>
  </commentList>
</comments>
</file>

<file path=xl/comments3.xml><?xml version="1.0" encoding="utf-8"?>
<comments xmlns="http://schemas.openxmlformats.org/spreadsheetml/2006/main">
  <authors>
    <author>Matusiewicz, Dan</author>
  </authors>
  <commentList>
    <comment ref="P15" authorId="0" shapeId="0">
      <text>
        <r>
          <rPr>
            <b/>
            <sz val="9"/>
            <color indexed="81"/>
            <rFont val="Tahoma"/>
            <family val="2"/>
          </rPr>
          <t>Matusiewicz, Dan:</t>
        </r>
        <r>
          <rPr>
            <sz val="9"/>
            <color indexed="81"/>
            <rFont val="Tahoma"/>
            <family val="2"/>
          </rPr>
          <t xml:space="preserve">
2016-17 Roll Forward Balance + 2016 Est Loss
</t>
        </r>
      </text>
    </comment>
    <comment ref="AM15" authorId="0" shapeId="0">
      <text>
        <r>
          <rPr>
            <b/>
            <sz val="9"/>
            <color indexed="81"/>
            <rFont val="Tahoma"/>
            <family val="2"/>
          </rPr>
          <t>Matusiewicz, Dan:</t>
        </r>
        <r>
          <rPr>
            <sz val="9"/>
            <color indexed="81"/>
            <rFont val="Tahoma"/>
            <family val="2"/>
          </rPr>
          <t xml:space="preserve">
2016-17 Roll Forward Balance + 2016 Est Loss
</t>
        </r>
      </text>
    </comment>
    <comment ref="AQ15" authorId="0" shapeId="0">
      <text>
        <r>
          <rPr>
            <b/>
            <sz val="9"/>
            <color indexed="81"/>
            <rFont val="Tahoma"/>
            <family val="2"/>
          </rPr>
          <t>Matusiewicz, Dan:</t>
        </r>
        <r>
          <rPr>
            <sz val="9"/>
            <color indexed="81"/>
            <rFont val="Tahoma"/>
            <family val="2"/>
          </rPr>
          <t xml:space="preserve">
2016-17 Roll Forward Balance + 2016 Est Loss
</t>
        </r>
      </text>
    </comment>
  </commentList>
</comments>
</file>

<file path=xl/comments4.xml><?xml version="1.0" encoding="utf-8"?>
<comments xmlns="http://schemas.openxmlformats.org/spreadsheetml/2006/main">
  <authors>
    <author>Matusiewicz, Dan</author>
  </authors>
  <commentList>
    <comment ref="M15" authorId="0" shapeId="0">
      <text>
        <r>
          <rPr>
            <b/>
            <sz val="9"/>
            <color indexed="81"/>
            <rFont val="Tahoma"/>
            <family val="2"/>
          </rPr>
          <t>Matusiewicz, Dan:</t>
        </r>
        <r>
          <rPr>
            <sz val="9"/>
            <color indexed="81"/>
            <rFont val="Tahoma"/>
            <family val="2"/>
          </rPr>
          <t xml:space="preserve">
7.5%-.6%=6.9% x 2015 MVA
</t>
        </r>
      </text>
    </comment>
  </commentList>
</comments>
</file>

<file path=xl/comments5.xml><?xml version="1.0" encoding="utf-8"?>
<comments xmlns="http://schemas.openxmlformats.org/spreadsheetml/2006/main">
  <authors>
    <author>Matusiewicz, Dan</author>
  </authors>
  <commentList>
    <comment ref="M15" authorId="0" shapeId="0">
      <text>
        <r>
          <rPr>
            <b/>
            <sz val="9"/>
            <color indexed="81"/>
            <rFont val="Tahoma"/>
            <family val="2"/>
          </rPr>
          <t>Matusiewicz, Dan:</t>
        </r>
        <r>
          <rPr>
            <sz val="9"/>
            <color indexed="81"/>
            <rFont val="Tahoma"/>
            <family val="2"/>
          </rPr>
          <t xml:space="preserve">
7.5%-.6%=6.9% x 2015 MVA
</t>
        </r>
      </text>
    </comment>
    <comment ref="Y15" authorId="0" shapeId="0">
      <text>
        <r>
          <rPr>
            <b/>
            <sz val="9"/>
            <color indexed="81"/>
            <rFont val="Tahoma"/>
            <family val="2"/>
          </rPr>
          <t>Matusiewicz, Dan:</t>
        </r>
        <r>
          <rPr>
            <sz val="9"/>
            <color indexed="81"/>
            <rFont val="Tahoma"/>
            <family val="2"/>
          </rPr>
          <t xml:space="preserve">
2016-17 Roll Forward Balance + 2016 Est Loss
</t>
        </r>
      </text>
    </comment>
    <comment ref="AC15" authorId="0" shapeId="0">
      <text>
        <r>
          <rPr>
            <b/>
            <sz val="9"/>
            <color indexed="81"/>
            <rFont val="Tahoma"/>
            <family val="2"/>
          </rPr>
          <t>Matusiewicz, Dan:</t>
        </r>
        <r>
          <rPr>
            <sz val="9"/>
            <color indexed="81"/>
            <rFont val="Tahoma"/>
            <family val="2"/>
          </rPr>
          <t xml:space="preserve">
2016-17 Roll Forward Balance + 2016 Est Loss
</t>
        </r>
      </text>
    </comment>
  </commentList>
</comments>
</file>

<file path=xl/comments6.xml><?xml version="1.0" encoding="utf-8"?>
<comments xmlns="http://schemas.openxmlformats.org/spreadsheetml/2006/main">
  <authors>
    <author>Matusiewicz, Dan</author>
  </authors>
  <commentList>
    <comment ref="M15" authorId="0" shapeId="0">
      <text>
        <r>
          <rPr>
            <b/>
            <sz val="9"/>
            <color indexed="81"/>
            <rFont val="Tahoma"/>
            <family val="2"/>
          </rPr>
          <t>Matusiewicz, Dan:</t>
        </r>
        <r>
          <rPr>
            <sz val="9"/>
            <color indexed="81"/>
            <rFont val="Tahoma"/>
            <family val="2"/>
          </rPr>
          <t xml:space="preserve">
7.5%-.6%=6.9% x 2015 MVA
</t>
        </r>
      </text>
    </comment>
    <comment ref="P15" authorId="0" shapeId="0">
      <text>
        <r>
          <rPr>
            <b/>
            <sz val="9"/>
            <color indexed="81"/>
            <rFont val="Tahoma"/>
            <family val="2"/>
          </rPr>
          <t>Matusiewicz, Dan:</t>
        </r>
        <r>
          <rPr>
            <sz val="9"/>
            <color indexed="81"/>
            <rFont val="Tahoma"/>
            <family val="2"/>
          </rPr>
          <t xml:space="preserve">
7.0%-.6%=6.4% x 2015 MVA
</t>
        </r>
      </text>
    </comment>
    <comment ref="S15" authorId="0" shapeId="0">
      <text>
        <r>
          <rPr>
            <b/>
            <sz val="9"/>
            <color indexed="81"/>
            <rFont val="Tahoma"/>
            <family val="2"/>
          </rPr>
          <t>Matusiewicz, Dan:</t>
        </r>
        <r>
          <rPr>
            <sz val="9"/>
            <color indexed="81"/>
            <rFont val="Tahoma"/>
            <family val="2"/>
          </rPr>
          <t xml:space="preserve">
7.0%-.6%=6.4% x 2015 MVA
</t>
        </r>
      </text>
    </comment>
    <comment ref="V15" authorId="0" shapeId="0">
      <text>
        <r>
          <rPr>
            <b/>
            <sz val="9"/>
            <color indexed="81"/>
            <rFont val="Tahoma"/>
            <family val="2"/>
          </rPr>
          <t>Matusiewicz, Dan:</t>
        </r>
        <r>
          <rPr>
            <sz val="9"/>
            <color indexed="81"/>
            <rFont val="Tahoma"/>
            <family val="2"/>
          </rPr>
          <t xml:space="preserve">
7.0%-.6%=6.4% x 2015 MVA
</t>
        </r>
      </text>
    </comment>
    <comment ref="Y15" authorId="0" shapeId="0">
      <text>
        <r>
          <rPr>
            <b/>
            <sz val="9"/>
            <color indexed="81"/>
            <rFont val="Tahoma"/>
            <family val="2"/>
          </rPr>
          <t>Matusiewicz, Dan:</t>
        </r>
        <r>
          <rPr>
            <sz val="9"/>
            <color indexed="81"/>
            <rFont val="Tahoma"/>
            <family val="2"/>
          </rPr>
          <t xml:space="preserve">
7.0%-.6%=6.4% x 2015 MVA
</t>
        </r>
      </text>
    </comment>
    <comment ref="AF15" authorId="0" shapeId="0">
      <text>
        <r>
          <rPr>
            <b/>
            <sz val="9"/>
            <color indexed="81"/>
            <rFont val="Tahoma"/>
            <family val="2"/>
          </rPr>
          <t>Matusiewicz, Dan:</t>
        </r>
        <r>
          <rPr>
            <sz val="9"/>
            <color indexed="81"/>
            <rFont val="Tahoma"/>
            <family val="2"/>
          </rPr>
          <t xml:space="preserve">
2016-17 Roll Forward Balance + 2016 Est Loss
</t>
        </r>
      </text>
    </comment>
  </commentList>
</comments>
</file>

<file path=xl/comments7.xml><?xml version="1.0" encoding="utf-8"?>
<comments xmlns="http://schemas.openxmlformats.org/spreadsheetml/2006/main">
  <authors>
    <author>Matusiewicz, Dan</author>
  </authors>
  <commentList>
    <comment ref="M15" authorId="0" shapeId="0">
      <text>
        <r>
          <rPr>
            <b/>
            <sz val="9"/>
            <color indexed="81"/>
            <rFont val="Tahoma"/>
            <family val="2"/>
          </rPr>
          <t>Matusiewicz, Dan:</t>
        </r>
        <r>
          <rPr>
            <sz val="9"/>
            <color indexed="81"/>
            <rFont val="Tahoma"/>
            <family val="2"/>
          </rPr>
          <t xml:space="preserve">
7.5%-.6%=6.9% x 2015 MVA
</t>
        </r>
      </text>
    </comment>
  </commentList>
</comments>
</file>

<file path=xl/comments8.xml><?xml version="1.0" encoding="utf-8"?>
<comments xmlns="http://schemas.openxmlformats.org/spreadsheetml/2006/main">
  <authors>
    <author>Matusiewicz, Dan</author>
  </authors>
  <commentList>
    <comment ref="M15" authorId="0" shapeId="0">
      <text>
        <r>
          <rPr>
            <b/>
            <sz val="9"/>
            <color indexed="81"/>
            <rFont val="Tahoma"/>
            <family val="2"/>
          </rPr>
          <t>Matusiewicz, Dan:</t>
        </r>
        <r>
          <rPr>
            <sz val="9"/>
            <color indexed="81"/>
            <rFont val="Tahoma"/>
            <family val="2"/>
          </rPr>
          <t xml:space="preserve">
7.5%-.6%=6.9% x 2015 MVA
</t>
        </r>
      </text>
    </comment>
    <comment ref="P15" authorId="0" shapeId="0">
      <text>
        <r>
          <rPr>
            <b/>
            <sz val="9"/>
            <color indexed="81"/>
            <rFont val="Tahoma"/>
            <family val="2"/>
          </rPr>
          <t>Matusiewicz, Dan:</t>
        </r>
        <r>
          <rPr>
            <sz val="9"/>
            <color indexed="81"/>
            <rFont val="Tahoma"/>
            <family val="2"/>
          </rPr>
          <t xml:space="preserve">
7.5%-.6%=6.9% x 2015 MVA
</t>
        </r>
      </text>
    </comment>
    <comment ref="S16" authorId="0" shapeId="0">
      <text>
        <r>
          <rPr>
            <b/>
            <sz val="9"/>
            <color indexed="81"/>
            <rFont val="Tahoma"/>
            <family val="2"/>
          </rPr>
          <t>Matusiewicz, Dan:</t>
        </r>
        <r>
          <rPr>
            <sz val="9"/>
            <color indexed="81"/>
            <rFont val="Tahoma"/>
            <family val="2"/>
          </rPr>
          <t xml:space="preserve">
7.5%-.6%=6.9% x 2015 MVA
</t>
        </r>
      </text>
    </comment>
    <comment ref="V17" authorId="0" shapeId="0">
      <text>
        <r>
          <rPr>
            <b/>
            <sz val="9"/>
            <color indexed="81"/>
            <rFont val="Tahoma"/>
            <family val="2"/>
          </rPr>
          <t>Matusiewicz, Dan:</t>
        </r>
        <r>
          <rPr>
            <sz val="9"/>
            <color indexed="81"/>
            <rFont val="Tahoma"/>
            <family val="2"/>
          </rPr>
          <t xml:space="preserve">
7.5%-.6%=6.9% x 2015 MVA
</t>
        </r>
      </text>
    </comment>
  </commentList>
</comments>
</file>

<file path=xl/comments9.xml><?xml version="1.0" encoding="utf-8"?>
<comments xmlns="http://schemas.openxmlformats.org/spreadsheetml/2006/main">
  <authors>
    <author>Matusiewicz, Dan</author>
  </authors>
  <commentList>
    <comment ref="AF15" authorId="0" shapeId="0">
      <text>
        <r>
          <rPr>
            <b/>
            <sz val="9"/>
            <color indexed="81"/>
            <rFont val="Tahoma"/>
            <family val="2"/>
          </rPr>
          <t>Matusiewicz, Dan:</t>
        </r>
        <r>
          <rPr>
            <sz val="9"/>
            <color indexed="81"/>
            <rFont val="Tahoma"/>
            <family val="2"/>
          </rPr>
          <t xml:space="preserve">
2016-17 Roll Forward Balance + 2016 Est Loss
</t>
        </r>
      </text>
    </comment>
  </commentList>
</comments>
</file>

<file path=xl/sharedStrings.xml><?xml version="1.0" encoding="utf-8"?>
<sst xmlns="http://schemas.openxmlformats.org/spreadsheetml/2006/main" count="1493" uniqueCount="265">
  <si>
    <t>SAFETY PLAN</t>
  </si>
  <si>
    <t>AMORTIZATION PERIOD</t>
  </si>
  <si>
    <t>BALANCE 6/30/13</t>
  </si>
  <si>
    <t>DATE ESTABLISHED</t>
  </si>
  <si>
    <t>Payment (Gain)/Loss</t>
  </si>
  <si>
    <t>(Gain)/Loss</t>
  </si>
  <si>
    <t>MISCELLANEOUS PLAN</t>
  </si>
  <si>
    <t>Weighted Avg Calc</t>
  </si>
  <si>
    <t>Fresh Start</t>
  </si>
  <si>
    <t>UAL</t>
  </si>
  <si>
    <t>Weighted Avg  New Amortization Life</t>
  </si>
  <si>
    <t>Expected Payment on UAL</t>
  </si>
  <si>
    <t>AMORTIZATION BASE</t>
  </si>
  <si>
    <t>CALPERS ACTUARIAL VALUATION JUNE 30, 2013, Setting 2015-16 Rates</t>
  </si>
  <si>
    <t>Normal Cost</t>
  </si>
  <si>
    <t xml:space="preserve">      Total Safety Cost Excluding (Exclusive of Employee Contributions)</t>
  </si>
  <si>
    <t>Incremental Cost to achieve a 20 Yr Amort of UAL</t>
  </si>
  <si>
    <t>Annual Cost (2)</t>
  </si>
  <si>
    <t>Payments are expected to increase 3% each year into the future until paid off.</t>
  </si>
  <si>
    <t>Cum Cost</t>
  </si>
  <si>
    <t>Cum cost</t>
  </si>
  <si>
    <t xml:space="preserve">      Total Misc Cost Excluding (Exclusive of Employee Contributions) - 15 Yr Amortization</t>
  </si>
  <si>
    <t>The elimination of Actuarial value of assets vs Market Value of Assets caused a significant Asset Loss, which by policy would be amortized over 30 Years.</t>
  </si>
  <si>
    <t xml:space="preserve">The impact of the mortality study is not yet reflected in the UAL or the rates but it turned out to be virtually cost neutral considering the ~18% return realized through 2014. </t>
  </si>
  <si>
    <t>Notes:</t>
  </si>
  <si>
    <t>FY 2015-16 Annual Cost</t>
  </si>
  <si>
    <t>Status Quo - UAL Payment</t>
  </si>
  <si>
    <t>Incremental Cost of 20 Year Amort</t>
  </si>
  <si>
    <t>Infinate</t>
  </si>
  <si>
    <t>Total Payment Exclusive of Emploee Contributions</t>
  </si>
  <si>
    <t>Misc</t>
  </si>
  <si>
    <t>Safety</t>
  </si>
  <si>
    <t>Incremental Cost for 20 Yr Amort</t>
  </si>
  <si>
    <t>Total</t>
  </si>
  <si>
    <t>Total Payment Exclusive of EE Contribution</t>
  </si>
  <si>
    <t>Expected UAL Payment - Status Quo</t>
  </si>
  <si>
    <t>Expected Payroll (As Projected by CalPERS)</t>
  </si>
  <si>
    <t>Unfunded Liability</t>
  </si>
  <si>
    <t>Amortization Life of UAL</t>
  </si>
  <si>
    <t>25.7 Yrs</t>
  </si>
  <si>
    <t>22.9 Yrs</t>
  </si>
  <si>
    <t>24.7 Yrs</t>
  </si>
  <si>
    <t>FY 2015-16 (2012-13 Val Date)</t>
  </si>
  <si>
    <t>Incremtal Cost of Accelerating PERS UAL Amortization</t>
  </si>
  <si>
    <t>Summary</t>
  </si>
  <si>
    <t>Incremental Cost of Accelerating PERS UAL Amortization</t>
  </si>
  <si>
    <t>Detail</t>
  </si>
  <si>
    <t>Total UAL</t>
  </si>
  <si>
    <t>(Gain)/Loss  Elmination of AVA  Net of Investment 2013 Gains (1)</t>
  </si>
  <si>
    <t>Balance</t>
  </si>
  <si>
    <t>Period</t>
  </si>
  <si>
    <t>Payment</t>
  </si>
  <si>
    <t>Year</t>
  </si>
  <si>
    <t xml:space="preserve">Mixed Amort </t>
  </si>
  <si>
    <t>NPV@3%</t>
  </si>
  <si>
    <t>Sum</t>
  </si>
  <si>
    <t>2012 Base 1</t>
  </si>
  <si>
    <t>2012 Base 2</t>
  </si>
  <si>
    <t>2013 Base</t>
  </si>
  <si>
    <t>Payments</t>
  </si>
  <si>
    <t>Minimum</t>
  </si>
  <si>
    <t>Alternative</t>
  </si>
  <si>
    <t>FY End</t>
  </si>
  <si>
    <t>Difference</t>
  </si>
  <si>
    <t>UAL Balance</t>
  </si>
  <si>
    <t>Cash Flow - Option 1 - Status Quo</t>
  </si>
  <si>
    <t>19 Yr</t>
  </si>
  <si>
    <t xml:space="preserve">﻿Entry Age Normal Accrued Liability </t>
  </si>
  <si>
    <t xml:space="preserve"> </t>
  </si>
  <si>
    <t xml:space="preserve">a) Active Members [(1a) - (2) - (3)] </t>
  </si>
  <si>
    <t xml:space="preserve">b) Transferred Members (1b) </t>
  </si>
  <si>
    <t xml:space="preserve">c) Terminated Members (1c) </t>
  </si>
  <si>
    <t>e) Total</t>
  </si>
  <si>
    <t>d) Members and Beneficiaries Receiving Payments (1d)</t>
  </si>
  <si>
    <t>Accrued Unfunded Liabilities</t>
  </si>
  <si>
    <t>Actives</t>
  </si>
  <si>
    <t>Rired &amp; Transferred</t>
  </si>
  <si>
    <t>Liability</t>
  </si>
  <si>
    <t>Funded</t>
  </si>
  <si>
    <t>Alternative Funding Schedules</t>
  </si>
  <si>
    <t>NPV Status Quo Pmts</t>
  </si>
  <si>
    <t>Sum of Pmts</t>
  </si>
  <si>
    <t>Status Quo Pmts</t>
  </si>
  <si>
    <t>Pmt. Diff.</t>
  </si>
  <si>
    <t xml:space="preserve">  PV( Savings)</t>
  </si>
  <si>
    <t xml:space="preserve">   Gross Pmt (Savings)</t>
  </si>
  <si>
    <t>NPV Pmts @ 3%</t>
  </si>
  <si>
    <t>Mixed Amortization Bases</t>
  </si>
  <si>
    <t>MISCELLANEOUS UNFUNDED LIABILITY</t>
  </si>
  <si>
    <t>Year 80% Funded</t>
  </si>
  <si>
    <t>Year 100% Funded</t>
  </si>
  <si>
    <t>SAFETY UNFUNDED LIABILITY</t>
  </si>
  <si>
    <t>UAL Payment</t>
  </si>
  <si>
    <t>Current</t>
  </si>
  <si>
    <t>15 Yr</t>
  </si>
  <si>
    <t>10 Yr</t>
  </si>
  <si>
    <t>Incremental Cost/Savings</t>
  </si>
  <si>
    <t>UAL Attribution Analysis</t>
  </si>
  <si>
    <t>Years</t>
  </si>
  <si>
    <t>UAL Cost/Savings</t>
  </si>
  <si>
    <t>Gross Payment Savings</t>
  </si>
  <si>
    <t>NPV Savings @ 3%</t>
  </si>
  <si>
    <t>Total Payment Requirement</t>
  </si>
  <si>
    <t>N/A</t>
  </si>
  <si>
    <t>Unfunded Liability Payment Savings</t>
  </si>
  <si>
    <t>(Millions)</t>
  </si>
  <si>
    <t>Payment Schedule</t>
  </si>
  <si>
    <t>Projected Unfunded Liability - 6/30/15</t>
  </si>
  <si>
    <t>Funded Status</t>
  </si>
  <si>
    <t>Full UAL Payment</t>
  </si>
  <si>
    <t>2011 Fresh Start</t>
  </si>
  <si>
    <t>AVA</t>
  </si>
  <si>
    <t>MISC</t>
  </si>
  <si>
    <t>SAFETY</t>
  </si>
  <si>
    <t>TOTAL</t>
  </si>
  <si>
    <t>MVA</t>
  </si>
  <si>
    <t>Variance</t>
  </si>
  <si>
    <t>*Actuarial Value of Assets</t>
  </si>
  <si>
    <t>AVA*</t>
  </si>
  <si>
    <t>MVA**</t>
  </si>
  <si>
    <t>**Market Value of Assets</t>
  </si>
  <si>
    <t>Ten Year History of Asset Values</t>
  </si>
  <si>
    <t>CURRENT FUNDING SCHEDULE</t>
  </si>
  <si>
    <t xml:space="preserve"> Current Schedule- Status Quo</t>
  </si>
  <si>
    <t>CHART DATA</t>
  </si>
  <si>
    <t>MISCELLANEOUS PLAN - ALTERNATIVE FUNDING SCHEDULES</t>
  </si>
  <si>
    <t>Current Plan - Status Quo</t>
  </si>
  <si>
    <t>SAFETY PLAN - AMORTIZATION BASES</t>
  </si>
  <si>
    <t>MISCELLANEOUS PLAN - AMORTIZATION BASES</t>
  </si>
  <si>
    <t>SAFETY PLAN - CURRENT AMORTIZATION SCHEDULE</t>
  </si>
  <si>
    <t>SAFETY PLAN - ALTERNATIVE FUNDING SCHEDULES</t>
  </si>
  <si>
    <t>SAMPLE AMORTIZATION SCHEDULES</t>
  </si>
  <si>
    <t>30 Yr Fixed - Level % of Pay</t>
  </si>
  <si>
    <t xml:space="preserve"> Fixed 30 Yr  with 5 Yr Ramps</t>
  </si>
  <si>
    <t>19 Year Fixed - Level % of Pay</t>
  </si>
  <si>
    <t>15 Year Fixed - Level % of Pay</t>
  </si>
  <si>
    <t>10 Year Fixed - Level Percent of Pay</t>
  </si>
  <si>
    <t>10 Year Fixed - Level % of Pay</t>
  </si>
  <si>
    <t>Incremental Cost</t>
  </si>
  <si>
    <t>Active Employees</t>
  </si>
  <si>
    <t>Retired, Terminated or Transferred Plan Participants</t>
  </si>
  <si>
    <t>Interest</t>
  </si>
  <si>
    <t>Salary</t>
  </si>
  <si>
    <t>Ramp</t>
  </si>
  <si>
    <t>per</t>
  </si>
  <si>
    <t>a(ramp)</t>
  </si>
  <si>
    <t>a(per)</t>
  </si>
  <si>
    <t>Fixed Amort - Level % of Pay</t>
  </si>
  <si>
    <t xml:space="preserve"> Fixed Amort with 5 Yr Ramps</t>
  </si>
  <si>
    <t xml:space="preserve">MISC. PLAN - </t>
  </si>
  <si>
    <t>CITY OF NEWPORT BEACH</t>
  </si>
  <si>
    <t>Accelerated Pension Payment Savings Program</t>
  </si>
  <si>
    <t>Principal balance growing (Negative Amortization)</t>
  </si>
  <si>
    <t>Balance declining but oustanding balance still exceeds original principal balance</t>
  </si>
  <si>
    <t>Balance declining and outstanding balance is less than original principal balance</t>
  </si>
  <si>
    <t>2014 Fresh Start</t>
  </si>
  <si>
    <t>2014 (Gain)</t>
  </si>
  <si>
    <t>2015 Loss</t>
  </si>
  <si>
    <t>2016 Loss</t>
  </si>
  <si>
    <t>MISCELLANEOUS CURRENT FUNDING SCHEDULE</t>
  </si>
  <si>
    <t>20 Yr Level % of Pay</t>
  </si>
  <si>
    <t>Val</t>
  </si>
  <si>
    <t>FYE</t>
  </si>
  <si>
    <t>30 Yr Amort with 5 YrSmoothing</t>
  </si>
  <si>
    <t>2016 Loss Not Included</t>
  </si>
  <si>
    <t>Pmt</t>
  </si>
  <si>
    <t>Sch.</t>
  </si>
  <si>
    <t>2016+</t>
  </si>
  <si>
    <t>Level Pmt</t>
  </si>
  <si>
    <t>Default</t>
  </si>
  <si>
    <t>A</t>
  </si>
  <si>
    <t>D</t>
  </si>
  <si>
    <t>C</t>
  </si>
  <si>
    <t>30 Year Options</t>
  </si>
  <si>
    <t>20 Year Options</t>
  </si>
  <si>
    <t>Default - 30 Yr,  5 Yr Ramps</t>
  </si>
  <si>
    <t>Optional - 30 Yr, Level % of Pay</t>
  </si>
  <si>
    <t>30 Yr. Fixed</t>
  </si>
  <si>
    <t>Default - 20 Yr, with 5 Yr Ramps</t>
  </si>
  <si>
    <t>Pmt Diff</t>
  </si>
  <si>
    <t xml:space="preserve"> 30 Yr, Level $ Payment</t>
  </si>
  <si>
    <t>Default - 20 Yr,  5 Yr Ramps</t>
  </si>
  <si>
    <t>Optional - 20 Yr, Level % of pay</t>
  </si>
  <si>
    <t xml:space="preserve"> 20 Yr, Level $ Payment</t>
  </si>
  <si>
    <t>Sum of Payments</t>
  </si>
  <si>
    <t>NPV @ 3%</t>
  </si>
  <si>
    <t>Least Cost Effective Amortization</t>
  </si>
  <si>
    <t>Most Cost Effective Amortization</t>
  </si>
  <si>
    <t>Amortization Efficiency Ratio (AER)</t>
  </si>
  <si>
    <t>Interest as % of Principal</t>
  </si>
  <si>
    <t>Interest as % of Total Payments</t>
  </si>
  <si>
    <t>NOTES:</t>
  </si>
  <si>
    <t>2014 Experience Gain Credit</t>
  </si>
  <si>
    <t>Level</t>
  </si>
  <si>
    <t>AER</t>
  </si>
  <si>
    <t>Int/Total</t>
  </si>
  <si>
    <t>Int/Prin</t>
  </si>
  <si>
    <t>Alt 1</t>
  </si>
  <si>
    <t>TOTAL CURRENT FUNDING SCHEDULE</t>
  </si>
  <si>
    <t>2014 Base</t>
  </si>
  <si>
    <t>2014 Credit</t>
  </si>
  <si>
    <t>Alternative 1 - Amortize 2015 &amp; 2016 Losses Over 20 Yrs</t>
  </si>
  <si>
    <t>Default - Amortizing 2015 &amp; 2016 Losses Over 30 Years</t>
  </si>
  <si>
    <t>Alternative 2 - Level Payment Plan</t>
  </si>
  <si>
    <t>Pmt Over</t>
  </si>
  <si>
    <t>PV savings over default</t>
  </si>
  <si>
    <t>Total Payments</t>
  </si>
  <si>
    <t>Percent Interest Paid</t>
  </si>
  <si>
    <t>30 Year Savings over default</t>
  </si>
  <si>
    <t>Preliminary Funding Recommendations</t>
  </si>
  <si>
    <t>Alternative 2 - Level Pmt. Plan</t>
  </si>
  <si>
    <t>Amort. Efficiency Ratio (AER)</t>
  </si>
  <si>
    <t>2016 Loss- Invst</t>
  </si>
  <si>
    <t>7.375% Discount</t>
  </si>
  <si>
    <t>7.25% Discount</t>
  </si>
  <si>
    <t xml:space="preserve"> 7.0% Discount</t>
  </si>
  <si>
    <t xml:space="preserve">SAFETY PLAN - </t>
  </si>
  <si>
    <t>2016 Loss @7%</t>
  </si>
  <si>
    <t>6.5% Discount</t>
  </si>
  <si>
    <t>Alt 2</t>
  </si>
  <si>
    <t xml:space="preserve">TOTAL PLAN - </t>
  </si>
  <si>
    <t xml:space="preserve"> 6.5% Discount</t>
  </si>
  <si>
    <t>Alternative 1 - Amortize 2015 &amp; 2016 Losses Over 20 Yrs @ 7%</t>
  </si>
  <si>
    <t>Alternative 1 - Amortize 2015 &amp; 2016 Losses Over 20 Yrs @ 6.5%</t>
  </si>
  <si>
    <t>`1</t>
  </si>
  <si>
    <t>LEVEL</t>
  </si>
  <si>
    <t>20 Year Level Amortization</t>
  </si>
  <si>
    <t>PV Savings</t>
  </si>
  <si>
    <t>Total Savings Over 20 Years</t>
  </si>
  <si>
    <t>NPV 10 Yrs @ 3%</t>
  </si>
  <si>
    <t>NPV 20 Yrs @ 3%</t>
  </si>
  <si>
    <t>NPV 30 Yrs @ 3%</t>
  </si>
  <si>
    <t xml:space="preserve">Alt 1 - 20 Yr Level % of Pay at 7% </t>
  </si>
  <si>
    <t xml:space="preserve">Alt 2 - 20 Yr Level $ Payment at 7% </t>
  </si>
  <si>
    <t>Hedge 1 -  20 Yr Level % of Pay at 6.5%</t>
  </si>
  <si>
    <t>Hedge 2 -  20 Yr Level $ Payment at 6.5%</t>
  </si>
  <si>
    <t>Default UL  Including Known Losses Phased In</t>
  </si>
  <si>
    <t>Default UL Payment  Including Known Losses Phased In</t>
  </si>
  <si>
    <t>Cash Flow</t>
  </si>
  <si>
    <t>Unfunded Liability Balance</t>
  </si>
  <si>
    <t>30 Yr Gross Savings</t>
  </si>
  <si>
    <t>30 YR PV Savings (Cost) @ 3%</t>
  </si>
  <si>
    <t xml:space="preserve">  Relative Positive (Negative) Cash Flow</t>
  </si>
  <si>
    <t>Assumed General Funds Revenues</t>
  </si>
  <si>
    <t>UAL Payment as a % of General Fund Budget</t>
  </si>
  <si>
    <t>Hedge @ 6.5%</t>
  </si>
  <si>
    <t>Total - Default</t>
  </si>
  <si>
    <t>Default with:</t>
  </si>
  <si>
    <t>Discount Rate</t>
  </si>
  <si>
    <t>Changes</t>
  </si>
  <si>
    <t xml:space="preserve"> 2016  Inv. Loss </t>
  </si>
  <si>
    <t>Alt 1 - Recognize all known losses, amortize over 20 Years, Level % of Pay</t>
  </si>
  <si>
    <t>Alt 2 - Level $ Payment</t>
  </si>
  <si>
    <t>Default with Known</t>
  </si>
  <si>
    <t>Future Losses</t>
  </si>
  <si>
    <t>Alt 1- Recognize Future Losses, Amortize over 20 Yrs, Level % of Pay and Level $ Payment</t>
  </si>
  <si>
    <t>Alt 2 - Level Dollar Payment</t>
  </si>
  <si>
    <t>Hedge 1 - 6.5% Discount Rate</t>
  </si>
  <si>
    <t>Hea</t>
  </si>
  <si>
    <t>Hedge 2 - 6.5% Discount Rate</t>
  </si>
  <si>
    <t>Level $ Payment</t>
  </si>
  <si>
    <t xml:space="preserve">SAFETY PLAN </t>
  </si>
  <si>
    <t>Hedge -2</t>
  </si>
  <si>
    <t>CITY OF NEWPORT BEACH - 2015 VALUATION - 2017-18 CONTRIBUTION OPTIONS</t>
  </si>
  <si>
    <t>Default Minimum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</si>
</sst>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 #,##0.0_);_(* \(#,##0.0\);_(* &quot;-&quot;??_);_(@_)"/>
    <numFmt numFmtId="168" formatCode="0.0%"/>
    <numFmt numFmtId="169" formatCode="0.00000"/>
    <numFmt numFmtId="170" formatCode="0.000"/>
    <numFmt numFmtId="171" formatCode="0.000%"/>
  </numFmts>
  <fonts count="44"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sz val="10"/>
      <color theme="1"/>
      <name val="Arial"/>
      <family val="2"/>
    </font>
    <font>
      <sz val="11"/>
      <color theme="1"/>
      <name val="Arial"/>
      <family val="2"/>
    </font>
    <font>
      <sz val="10"/>
      <color theme="1"/>
      <name val="Arial"/>
      <family val="2"/>
    </font>
    <font>
      <u/>
      <sz val="11"/>
      <color theme="1"/>
      <name val="Calibri"/>
      <family val="2"/>
      <scheme val="minor"/>
    </font>
    <font>
      <sz val="11"/>
      <color theme="0"/>
      <name val="Calibri"/>
      <family val="2"/>
      <scheme val="minor"/>
    </font>
    <font>
      <sz val="14"/>
      <color theme="1"/>
      <name val="Calibri"/>
      <family val="2"/>
      <scheme val="minor"/>
    </font>
    <font>
      <sz val="16"/>
      <color theme="0"/>
      <name val="Calibri"/>
      <family val="2"/>
      <scheme val="minor"/>
    </font>
    <font>
      <b/>
      <sz val="14"/>
      <color theme="1"/>
      <name val="Calibri"/>
      <family val="2"/>
      <scheme val="minor"/>
    </font>
    <font>
      <sz val="12"/>
      <color theme="1"/>
      <name val="Calibri"/>
      <family val="2"/>
      <scheme val="minor"/>
    </font>
    <font>
      <sz val="10"/>
      <name val="Arial"/>
      <family val="2"/>
    </font>
    <font>
      <sz val="18"/>
      <color theme="0"/>
      <name val="Calibri"/>
      <family val="2"/>
      <scheme val="minor"/>
    </font>
    <font>
      <sz val="14"/>
      <color theme="0"/>
      <name val="Calibri"/>
      <family val="2"/>
      <scheme val="minor"/>
    </font>
    <font>
      <sz val="20"/>
      <color theme="1"/>
      <name val="Calibri"/>
      <family val="2"/>
      <scheme val="minor"/>
    </font>
    <font>
      <b/>
      <sz val="12"/>
      <color theme="1"/>
      <name val="Calibri"/>
      <family val="2"/>
      <scheme val="minor"/>
    </font>
    <font>
      <sz val="12"/>
      <name val="Arial"/>
      <family val="2"/>
    </font>
    <font>
      <b/>
      <sz val="16"/>
      <color theme="1"/>
      <name val="Calibri"/>
      <family val="2"/>
      <scheme val="minor"/>
    </font>
    <font>
      <sz val="9"/>
      <color theme="0"/>
      <name val="Calibri"/>
      <family val="2"/>
      <scheme val="minor"/>
    </font>
    <font>
      <sz val="10"/>
      <color theme="0"/>
      <name val="Calibri"/>
      <family val="2"/>
      <scheme val="minor"/>
    </font>
    <font>
      <sz val="11"/>
      <color rgb="FFFF0000"/>
      <name val="Calibri"/>
      <family val="2"/>
      <scheme val="minor"/>
    </font>
    <font>
      <sz val="10"/>
      <color rgb="FFFF0000"/>
      <name val="Arial"/>
      <family val="2"/>
    </font>
    <font>
      <b/>
      <sz val="18"/>
      <color theme="1"/>
      <name val="Calibri"/>
      <family val="2"/>
      <scheme val="minor"/>
    </font>
    <font>
      <sz val="9"/>
      <color indexed="81"/>
      <name val="Tahoma"/>
      <family val="2"/>
    </font>
    <font>
      <b/>
      <sz val="9"/>
      <color indexed="81"/>
      <name val="Tahoma"/>
      <family val="2"/>
    </font>
    <font>
      <b/>
      <sz val="14"/>
      <name val="Calibri"/>
      <family val="2"/>
      <scheme val="minor"/>
    </font>
    <font>
      <b/>
      <sz val="14"/>
      <color theme="0"/>
      <name val="Calibri"/>
      <family val="2"/>
      <scheme val="minor"/>
    </font>
    <font>
      <sz val="11"/>
      <name val="Calibri"/>
      <family val="2"/>
      <scheme val="minor"/>
    </font>
    <font>
      <b/>
      <sz val="11"/>
      <color rgb="FFFF0000"/>
      <name val="Calibri"/>
      <family val="2"/>
      <scheme val="minor"/>
    </font>
    <font>
      <sz val="11"/>
      <color rgb="FF00B050"/>
      <name val="Calibri"/>
      <family val="2"/>
      <scheme val="minor"/>
    </font>
    <font>
      <b/>
      <sz val="11"/>
      <name val="Calibri"/>
      <family val="2"/>
      <scheme val="minor"/>
    </font>
    <font>
      <sz val="12"/>
      <color theme="0"/>
      <name val="Calibri"/>
      <family val="2"/>
      <scheme val="minor"/>
    </font>
    <font>
      <sz val="22"/>
      <color theme="1"/>
      <name val="Calibri"/>
      <family val="2"/>
      <scheme val="minor"/>
    </font>
    <font>
      <strike/>
      <sz val="11"/>
      <color theme="1"/>
      <name val="Calibri"/>
      <family val="2"/>
      <scheme val="minor"/>
    </font>
    <font>
      <b/>
      <strike/>
      <sz val="10"/>
      <color theme="1"/>
      <name val="Arial"/>
      <family val="2"/>
    </font>
    <font>
      <strike/>
      <sz val="10"/>
      <color theme="1"/>
      <name val="Arial"/>
      <family val="2"/>
    </font>
    <font>
      <sz val="11"/>
      <color rgb="FF9C0006"/>
      <name val="Calibri"/>
      <family val="2"/>
      <scheme val="minor"/>
    </font>
    <font>
      <b/>
      <sz val="10"/>
      <color rgb="FFFF0000"/>
      <name val="Arial"/>
      <family val="2"/>
    </font>
    <font>
      <strike/>
      <sz val="11"/>
      <color theme="1"/>
      <name val="Arial"/>
      <family val="2"/>
    </font>
    <font>
      <sz val="11"/>
      <color rgb="FF7030A0"/>
      <name val="Calibri"/>
      <family val="2"/>
      <scheme val="minor"/>
    </font>
    <font>
      <sz val="11"/>
      <color theme="0" tint="-0.14999847407452621"/>
      <name val="Calibri"/>
      <family val="2"/>
      <scheme val="minor"/>
    </font>
    <font>
      <b/>
      <sz val="11"/>
      <color theme="3"/>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patternFill>
    </fill>
    <fill>
      <patternFill patternType="solid">
        <fgColor theme="8"/>
      </patternFill>
    </fill>
    <fill>
      <patternFill patternType="solid">
        <fgColor theme="8" tint="0.79998168889431442"/>
        <bgColor indexed="64"/>
      </patternFill>
    </fill>
    <fill>
      <patternFill patternType="solid">
        <fgColor rgb="FFFFFFCC"/>
      </patternFill>
    </fill>
    <fill>
      <patternFill patternType="solid">
        <fgColor rgb="FFFFFF99"/>
        <bgColor indexed="64"/>
      </patternFill>
    </fill>
    <fill>
      <patternFill patternType="solid">
        <fgColor rgb="FF92D050"/>
        <bgColor indexed="64"/>
      </patternFill>
    </fill>
    <fill>
      <patternFill patternType="solid">
        <fgColor theme="5"/>
      </patternFill>
    </fill>
    <fill>
      <patternFill patternType="solid">
        <fgColor theme="6"/>
      </patternFill>
    </fill>
    <fill>
      <patternFill patternType="solid">
        <fgColor theme="0"/>
        <bgColor indexed="64"/>
      </patternFill>
    </fill>
    <fill>
      <patternFill patternType="solid">
        <fgColor theme="4"/>
        <bgColor indexed="64"/>
      </patternFill>
    </fill>
    <fill>
      <patternFill patternType="solid">
        <fgColor rgb="FFFFC7CE"/>
      </patternFill>
    </fill>
  </fills>
  <borders count="84">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ck">
        <color rgb="FFFF0000"/>
      </left>
      <right style="thick">
        <color rgb="FFFF0000"/>
      </right>
      <top style="thick">
        <color rgb="FFFF0000"/>
      </top>
      <bottom style="thick">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thick">
        <color rgb="FFFF0000"/>
      </left>
      <right style="thick">
        <color rgb="FFFF0000"/>
      </right>
      <top style="thick">
        <color rgb="FFFF0000"/>
      </top>
      <bottom style="thin">
        <color indexed="64"/>
      </bottom>
      <diagonal/>
    </border>
    <border>
      <left/>
      <right style="thick">
        <color rgb="FFFF0000"/>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ck">
        <color rgb="FFFF0000"/>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bottom style="thick">
        <color rgb="FFFF0000"/>
      </bottom>
      <diagonal/>
    </border>
    <border>
      <left style="thick">
        <color rgb="FFFF0000"/>
      </left>
      <right style="thick">
        <color rgb="FFFF0000"/>
      </right>
      <top/>
      <bottom style="thick">
        <color rgb="FFFF0000"/>
      </bottom>
      <diagonal/>
    </border>
    <border>
      <left style="thick">
        <color rgb="FFFF0000"/>
      </left>
      <right/>
      <top style="thin">
        <color indexed="64"/>
      </top>
      <bottom style="thick">
        <color rgb="FFFF0000"/>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ck">
        <color rgb="FFFF0000"/>
      </top>
      <bottom style="thick">
        <color rgb="FFFF0000"/>
      </bottom>
      <diagonal/>
    </border>
  </borders>
  <cellStyleXfs count="11">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9" fontId="2" fillId="0" borderId="0" applyFont="0" applyFill="0" applyBorder="0" applyAlignment="0" applyProtection="0"/>
    <xf numFmtId="0" fontId="8" fillId="3" borderId="0" applyNumberFormat="0" applyBorder="0" applyAlignment="0" applyProtection="0"/>
    <xf numFmtId="0" fontId="8" fillId="4" borderId="0" applyNumberFormat="0" applyBorder="0" applyAlignment="0" applyProtection="0"/>
    <xf numFmtId="0" fontId="2" fillId="6" borderId="50" applyNumberFormat="0" applyFont="0" applyAlignment="0" applyProtection="0"/>
    <xf numFmtId="0" fontId="8" fillId="9" borderId="0" applyNumberFormat="0" applyBorder="0" applyAlignment="0" applyProtection="0"/>
    <xf numFmtId="0" fontId="8" fillId="10" borderId="0" applyNumberFormat="0" applyBorder="0" applyAlignment="0" applyProtection="0"/>
    <xf numFmtId="0" fontId="38" fillId="13" borderId="0" applyNumberFormat="0" applyBorder="0" applyAlignment="0" applyProtection="0"/>
  </cellStyleXfs>
  <cellXfs count="626">
    <xf numFmtId="0" fontId="0" fillId="0" borderId="0" xfId="0"/>
    <xf numFmtId="0" fontId="1" fillId="0" borderId="0" xfId="0" applyFont="1"/>
    <xf numFmtId="0" fontId="0" fillId="0" borderId="1" xfId="0" applyBorder="1" applyAlignment="1">
      <alignment wrapText="1"/>
    </xf>
    <xf numFmtId="0" fontId="0" fillId="0" borderId="0" xfId="0" applyAlignment="1">
      <alignment horizontal="center"/>
    </xf>
    <xf numFmtId="44" fontId="0" fillId="0" borderId="0" xfId="0" applyNumberFormat="1"/>
    <xf numFmtId="42" fontId="0" fillId="0" borderId="0" xfId="0" applyNumberFormat="1"/>
    <xf numFmtId="0" fontId="0" fillId="0" borderId="0" xfId="0" applyFill="1" applyBorder="1" applyAlignment="1">
      <alignment wrapText="1"/>
    </xf>
    <xf numFmtId="42" fontId="0" fillId="0" borderId="0" xfId="0" applyNumberFormat="1" applyAlignment="1">
      <alignment horizont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42" fontId="0" fillId="0" borderId="3" xfId="0" applyNumberFormat="1" applyBorder="1"/>
    <xf numFmtId="0" fontId="0" fillId="0" borderId="3" xfId="0" applyBorder="1"/>
    <xf numFmtId="0" fontId="0" fillId="0" borderId="0" xfId="0" applyBorder="1"/>
    <xf numFmtId="0" fontId="0" fillId="0" borderId="0" xfId="0" applyAlignment="1">
      <alignment vertical="top"/>
    </xf>
    <xf numFmtId="0" fontId="1" fillId="0" borderId="4" xfId="0" applyFont="1" applyBorder="1"/>
    <xf numFmtId="0" fontId="0" fillId="0" borderId="5" xfId="0" applyBorder="1"/>
    <xf numFmtId="0" fontId="0" fillId="0" borderId="5" xfId="0" applyBorder="1" applyAlignment="1">
      <alignment horizontal="center"/>
    </xf>
    <xf numFmtId="44" fontId="0" fillId="0" borderId="5" xfId="0" applyNumberFormat="1" applyBorder="1" applyAlignment="1">
      <alignment horizont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applyAlignment="1">
      <alignment horizontal="center"/>
    </xf>
    <xf numFmtId="14" fontId="0" fillId="0" borderId="0" xfId="0" applyNumberFormat="1" applyBorder="1" applyAlignment="1">
      <alignment horizontal="center"/>
    </xf>
    <xf numFmtId="42" fontId="0" fillId="0" borderId="0" xfId="0" applyNumberFormat="1" applyBorder="1"/>
    <xf numFmtId="0" fontId="0" fillId="2" borderId="9" xfId="0" applyFill="1" applyBorder="1"/>
    <xf numFmtId="14" fontId="0" fillId="2" borderId="0" xfId="0" applyNumberFormat="1" applyFill="1" applyBorder="1" applyAlignment="1">
      <alignment horizontal="center"/>
    </xf>
    <xf numFmtId="0" fontId="0" fillId="0" borderId="0" xfId="0" applyBorder="1" applyAlignment="1">
      <alignment horizontal="right"/>
    </xf>
    <xf numFmtId="164" fontId="0" fillId="0" borderId="0" xfId="0" applyNumberFormat="1" applyBorder="1" applyAlignment="1">
      <alignment horizontal="center"/>
    </xf>
    <xf numFmtId="0" fontId="1" fillId="0" borderId="9" xfId="0" applyFont="1" applyBorder="1"/>
    <xf numFmtId="0" fontId="0" fillId="0" borderId="9" xfId="0" applyFont="1" applyBorder="1"/>
    <xf numFmtId="42" fontId="0" fillId="0" borderId="8" xfId="0" applyNumberFormat="1" applyBorder="1"/>
    <xf numFmtId="0" fontId="0" fillId="0" borderId="10" xfId="0" applyBorder="1"/>
    <xf numFmtId="0" fontId="0" fillId="0" borderId="11" xfId="0" applyBorder="1"/>
    <xf numFmtId="165" fontId="0" fillId="0" borderId="3" xfId="0" applyNumberFormat="1" applyBorder="1"/>
    <xf numFmtId="165" fontId="0" fillId="0" borderId="0" xfId="0" applyNumberFormat="1" applyBorder="1"/>
    <xf numFmtId="42" fontId="0" fillId="0" borderId="3" xfId="0" applyNumberFormat="1" applyBorder="1" applyAlignment="1">
      <alignment horizontal="center"/>
    </xf>
    <xf numFmtId="166" fontId="0" fillId="0" borderId="0" xfId="1" applyNumberFormat="1" applyFont="1" applyBorder="1" applyAlignment="1">
      <alignment horizontal="center"/>
    </xf>
    <xf numFmtId="166" fontId="0" fillId="0" borderId="0" xfId="0" applyNumberFormat="1" applyBorder="1" applyAlignment="1">
      <alignment horizontal="center"/>
    </xf>
    <xf numFmtId="0" fontId="0" fillId="0" borderId="4" xfId="0" applyBorder="1"/>
    <xf numFmtId="42" fontId="0" fillId="0" borderId="5" xfId="0" applyNumberFormat="1" applyBorder="1"/>
    <xf numFmtId="166" fontId="0" fillId="0" borderId="8" xfId="1" applyNumberFormat="1" applyFont="1" applyBorder="1" applyAlignment="1">
      <alignment vertical="top"/>
    </xf>
    <xf numFmtId="0" fontId="0" fillId="0" borderId="3" xfId="0" applyBorder="1" applyAlignment="1">
      <alignment horizontal="right"/>
    </xf>
    <xf numFmtId="164" fontId="0" fillId="0" borderId="3" xfId="0" applyNumberFormat="1" applyBorder="1" applyAlignment="1">
      <alignment horizontal="center"/>
    </xf>
    <xf numFmtId="0" fontId="0" fillId="2" borderId="0" xfId="0" applyFill="1" applyBorder="1" applyAlignment="1">
      <alignment horizontal="center"/>
    </xf>
    <xf numFmtId="42" fontId="0" fillId="2" borderId="0" xfId="0" applyNumberFormat="1" applyFill="1" applyBorder="1"/>
    <xf numFmtId="165" fontId="0" fillId="0" borderId="0" xfId="0" applyNumberFormat="1"/>
    <xf numFmtId="6" fontId="0" fillId="0" borderId="0" xfId="0" applyNumberFormat="1"/>
    <xf numFmtId="0" fontId="0" fillId="0" borderId="0" xfId="0"/>
    <xf numFmtId="166" fontId="0" fillId="0" borderId="0" xfId="1" applyNumberFormat="1" applyFont="1"/>
    <xf numFmtId="166" fontId="0" fillId="0" borderId="0" xfId="0" applyNumberFormat="1"/>
    <xf numFmtId="0" fontId="0" fillId="0" borderId="0" xfId="0" applyBorder="1"/>
    <xf numFmtId="0" fontId="5" fillId="0" borderId="0" xfId="0" applyFont="1"/>
    <xf numFmtId="165" fontId="6" fillId="0" borderId="9" xfId="2" applyNumberFormat="1" applyFont="1" applyBorder="1" applyAlignment="1">
      <alignment horizontal="center"/>
    </xf>
    <xf numFmtId="165" fontId="6" fillId="0" borderId="8" xfId="2" applyNumberFormat="1" applyFont="1" applyBorder="1" applyAlignment="1">
      <alignment horizontal="center"/>
    </xf>
    <xf numFmtId="165" fontId="6" fillId="0" borderId="0" xfId="2" applyNumberFormat="1" applyFont="1" applyBorder="1" applyAlignment="1">
      <alignment horizontal="center"/>
    </xf>
    <xf numFmtId="165" fontId="6" fillId="0" borderId="10" xfId="2" applyNumberFormat="1" applyFont="1" applyBorder="1" applyAlignment="1">
      <alignment horizontal="center"/>
    </xf>
    <xf numFmtId="165" fontId="6" fillId="0" borderId="11" xfId="2" applyNumberFormat="1" applyFont="1" applyBorder="1" applyAlignment="1">
      <alignment horizontal="center"/>
    </xf>
    <xf numFmtId="165" fontId="6" fillId="0" borderId="3" xfId="2" applyNumberFormat="1" applyFont="1" applyBorder="1" applyAlignment="1">
      <alignment horizontal="center"/>
    </xf>
    <xf numFmtId="0" fontId="5" fillId="0" borderId="10" xfId="0" applyFont="1" applyBorder="1"/>
    <xf numFmtId="0" fontId="5" fillId="0" borderId="3" xfId="0" applyFont="1" applyBorder="1"/>
    <xf numFmtId="0" fontId="5" fillId="0" borderId="11" xfId="0" applyFont="1" applyBorder="1"/>
    <xf numFmtId="166" fontId="6" fillId="0" borderId="0" xfId="1" applyNumberFormat="1" applyFont="1" applyBorder="1" applyAlignment="1">
      <alignment horizontal="center"/>
    </xf>
    <xf numFmtId="165" fontId="6" fillId="0" borderId="9" xfId="2" applyNumberFormat="1" applyFont="1" applyFill="1" applyBorder="1" applyAlignment="1">
      <alignment horizontal="center"/>
    </xf>
    <xf numFmtId="166" fontId="6" fillId="0" borderId="0" xfId="1" applyNumberFormat="1" applyFont="1" applyFill="1" applyBorder="1" applyAlignment="1">
      <alignment horizontal="center"/>
    </xf>
    <xf numFmtId="0" fontId="5" fillId="0" borderId="10" xfId="0" applyFont="1" applyFill="1" applyBorder="1"/>
    <xf numFmtId="0" fontId="5" fillId="0" borderId="3" xfId="0" applyFont="1" applyFill="1" applyBorder="1"/>
    <xf numFmtId="166" fontId="6" fillId="0" borderId="3" xfId="1" applyNumberFormat="1" applyFont="1" applyBorder="1" applyAlignment="1">
      <alignment horizontal="center"/>
    </xf>
    <xf numFmtId="0" fontId="6" fillId="0" borderId="9" xfId="0" applyFont="1" applyFill="1" applyBorder="1" applyAlignment="1">
      <alignment horizontal="center"/>
    </xf>
    <xf numFmtId="0" fontId="6" fillId="0" borderId="0" xfId="0" applyFont="1" applyFill="1" applyBorder="1" applyAlignment="1">
      <alignment horizontal="center"/>
    </xf>
    <xf numFmtId="166" fontId="6" fillId="0" borderId="5" xfId="1" applyNumberFormat="1" applyFont="1" applyBorder="1" applyAlignment="1">
      <alignment horizontal="center"/>
    </xf>
    <xf numFmtId="165" fontId="6" fillId="0" borderId="0" xfId="2" applyNumberFormat="1" applyFont="1" applyFill="1" applyBorder="1" applyAlignment="1">
      <alignment horizontal="center"/>
    </xf>
    <xf numFmtId="43" fontId="0" fillId="0" borderId="0" xfId="1" applyFont="1"/>
    <xf numFmtId="0" fontId="6" fillId="0" borderId="10" xfId="0" applyFont="1" applyBorder="1" applyAlignment="1">
      <alignment horizontal="center"/>
    </xf>
    <xf numFmtId="0" fontId="6" fillId="0" borderId="3" xfId="0" applyFont="1" applyBorder="1" applyAlignment="1">
      <alignment horizontal="center"/>
    </xf>
    <xf numFmtId="0" fontId="6" fillId="0" borderId="11" xfId="0" applyFont="1" applyBorder="1" applyAlignment="1">
      <alignment horizontal="center"/>
    </xf>
    <xf numFmtId="0" fontId="6" fillId="0" borderId="10" xfId="0" applyFont="1" applyFill="1" applyBorder="1" applyAlignment="1">
      <alignment horizontal="center"/>
    </xf>
    <xf numFmtId="0" fontId="6" fillId="0" borderId="3" xfId="0" applyFont="1" applyFill="1" applyBorder="1" applyAlignment="1">
      <alignment horizontal="center"/>
    </xf>
    <xf numFmtId="0" fontId="3" fillId="0" borderId="0" xfId="3"/>
    <xf numFmtId="43" fontId="0" fillId="0" borderId="0" xfId="0" applyNumberFormat="1"/>
    <xf numFmtId="0" fontId="0" fillId="0" borderId="4"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2" xfId="0" applyFill="1" applyBorder="1" applyAlignment="1">
      <alignment horizontal="center"/>
    </xf>
    <xf numFmtId="0" fontId="0" fillId="0" borderId="0" xfId="0" applyFill="1" applyBorder="1" applyAlignment="1">
      <alignment horizontal="center"/>
    </xf>
    <xf numFmtId="0" fontId="6" fillId="0" borderId="9" xfId="0" applyFont="1" applyBorder="1" applyAlignment="1">
      <alignment horizontal="center"/>
    </xf>
    <xf numFmtId="0" fontId="6" fillId="0" borderId="0" xfId="0" applyFont="1" applyBorder="1" applyAlignment="1">
      <alignment horizontal="center"/>
    </xf>
    <xf numFmtId="0" fontId="6" fillId="0" borderId="8" xfId="0" applyFont="1" applyBorder="1" applyAlignment="1">
      <alignment horizontal="center"/>
    </xf>
    <xf numFmtId="0" fontId="0" fillId="0" borderId="0" xfId="0" applyNumberFormat="1"/>
    <xf numFmtId="165" fontId="6" fillId="0" borderId="9" xfId="0" applyNumberFormat="1" applyFont="1" applyFill="1" applyBorder="1" applyAlignment="1">
      <alignment horizontal="center"/>
    </xf>
    <xf numFmtId="165" fontId="6" fillId="0" borderId="10" xfId="0" applyNumberFormat="1" applyFont="1" applyFill="1" applyBorder="1" applyAlignment="1">
      <alignment horizontal="center"/>
    </xf>
    <xf numFmtId="166" fontId="0" fillId="0" borderId="0" xfId="0" applyNumberFormat="1" applyFill="1" applyBorder="1" applyAlignment="1">
      <alignment horizontal="center"/>
    </xf>
    <xf numFmtId="42" fontId="0" fillId="2" borderId="0" xfId="0" applyNumberFormat="1" applyFill="1"/>
    <xf numFmtId="3" fontId="0" fillId="0" borderId="0" xfId="0" applyNumberFormat="1"/>
    <xf numFmtId="9" fontId="0" fillId="0" borderId="0" xfId="4" applyFont="1"/>
    <xf numFmtId="0" fontId="7" fillId="0" borderId="0" xfId="0" applyFont="1"/>
    <xf numFmtId="9" fontId="0" fillId="0" borderId="0" xfId="0" applyNumberFormat="1"/>
    <xf numFmtId="6" fontId="0" fillId="0" borderId="0" xfId="0" applyNumberFormat="1" applyAlignment="1"/>
    <xf numFmtId="3" fontId="0" fillId="0" borderId="0" xfId="0" applyNumberFormat="1" applyAlignment="1"/>
    <xf numFmtId="9" fontId="7" fillId="0" borderId="0" xfId="4" applyFont="1" applyAlignment="1">
      <alignment horizontal="center"/>
    </xf>
    <xf numFmtId="0" fontId="0" fillId="0" borderId="0" xfId="0" applyFont="1" applyAlignment="1">
      <alignment horizontal="center"/>
    </xf>
    <xf numFmtId="0" fontId="0" fillId="0" borderId="2" xfId="0" applyBorder="1" applyAlignment="1">
      <alignment horizontal="center"/>
    </xf>
    <xf numFmtId="0" fontId="1" fillId="0" borderId="0" xfId="0" applyFont="1" applyAlignment="1">
      <alignment horizontal="center"/>
    </xf>
    <xf numFmtId="168" fontId="0" fillId="0" borderId="0" xfId="4" applyNumberFormat="1" applyFont="1"/>
    <xf numFmtId="0" fontId="0" fillId="0" borderId="0" xfId="0" applyAlignment="1">
      <alignment horizontal="right"/>
    </xf>
    <xf numFmtId="0" fontId="7" fillId="0" borderId="0" xfId="0" applyFont="1" applyBorder="1" applyAlignment="1">
      <alignment horizontal="right"/>
    </xf>
    <xf numFmtId="0" fontId="4" fillId="0" borderId="0" xfId="0" applyFont="1" applyBorder="1" applyAlignment="1">
      <alignment horizontal="center"/>
    </xf>
    <xf numFmtId="168" fontId="6" fillId="0" borderId="8" xfId="4" applyNumberFormat="1" applyFont="1" applyBorder="1" applyAlignment="1">
      <alignment horizontal="center"/>
    </xf>
    <xf numFmtId="0" fontId="0" fillId="0" borderId="2" xfId="0" applyBorder="1" applyAlignment="1">
      <alignment horizontal="center"/>
    </xf>
    <xf numFmtId="168" fontId="6" fillId="0" borderId="0" xfId="4" applyNumberFormat="1" applyFont="1" applyBorder="1" applyAlignment="1">
      <alignment horizontal="center"/>
    </xf>
    <xf numFmtId="168" fontId="6" fillId="0" borderId="11" xfId="4" applyNumberFormat="1" applyFont="1" applyBorder="1" applyAlignment="1">
      <alignment horizontal="center"/>
    </xf>
    <xf numFmtId="168" fontId="6" fillId="0" borderId="6" xfId="4" applyNumberFormat="1" applyFont="1" applyBorder="1" applyAlignment="1">
      <alignment horizontal="center"/>
    </xf>
    <xf numFmtId="165" fontId="6" fillId="0" borderId="5" xfId="2" applyNumberFormat="1"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165" fontId="6" fillId="0" borderId="4" xfId="2" applyNumberFormat="1" applyFont="1" applyBorder="1" applyAlignment="1">
      <alignment horizontal="center"/>
    </xf>
    <xf numFmtId="166" fontId="6" fillId="0" borderId="15" xfId="1" applyNumberFormat="1" applyFont="1" applyBorder="1" applyAlignment="1">
      <alignment horizontal="center"/>
    </xf>
    <xf numFmtId="0" fontId="6" fillId="0" borderId="16" xfId="0" applyFont="1" applyBorder="1" applyAlignment="1">
      <alignment horizontal="center"/>
    </xf>
    <xf numFmtId="165" fontId="6" fillId="0" borderId="5" xfId="2" applyNumberFormat="1" applyFont="1" applyFill="1" applyBorder="1" applyAlignment="1">
      <alignment horizontal="center"/>
    </xf>
    <xf numFmtId="166" fontId="0" fillId="0" borderId="0" xfId="1" applyNumberFormat="1" applyFont="1" applyBorder="1"/>
    <xf numFmtId="0" fontId="6" fillId="0" borderId="14" xfId="0" applyFont="1" applyFill="1" applyBorder="1" applyAlignment="1">
      <alignment horizontal="center"/>
    </xf>
    <xf numFmtId="0" fontId="6" fillId="0" borderId="15" xfId="0" applyFont="1" applyFill="1" applyBorder="1" applyAlignment="1">
      <alignment horizontal="center"/>
    </xf>
    <xf numFmtId="165" fontId="6" fillId="0" borderId="4" xfId="0" applyNumberFormat="1" applyFont="1" applyFill="1" applyBorder="1" applyAlignment="1">
      <alignment horizontal="center"/>
    </xf>
    <xf numFmtId="0" fontId="6" fillId="0" borderId="5" xfId="0" applyFont="1" applyFill="1" applyBorder="1" applyAlignment="1">
      <alignment horizontal="center"/>
    </xf>
    <xf numFmtId="166" fontId="0" fillId="0" borderId="3" xfId="1" applyNumberFormat="1" applyFont="1" applyBorder="1" applyAlignment="1">
      <alignment horizontal="center"/>
    </xf>
    <xf numFmtId="6" fontId="0" fillId="0" borderId="3" xfId="0" applyNumberFormat="1" applyBorder="1"/>
    <xf numFmtId="0" fontId="6" fillId="0" borderId="4" xfId="0" applyFont="1" applyFill="1" applyBorder="1" applyAlignment="1">
      <alignment horizontal="center"/>
    </xf>
    <xf numFmtId="166" fontId="6" fillId="0" borderId="5" xfId="1" applyNumberFormat="1" applyFont="1" applyFill="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166" fontId="6" fillId="0" borderId="3" xfId="1" applyNumberFormat="1" applyFont="1" applyFill="1" applyBorder="1" applyAlignment="1">
      <alignment horizontal="center"/>
    </xf>
    <xf numFmtId="165" fontId="0" fillId="0" borderId="5" xfId="0" applyNumberFormat="1" applyBorder="1"/>
    <xf numFmtId="6" fontId="0" fillId="0" borderId="0" xfId="0" applyNumberFormat="1" applyBorder="1"/>
    <xf numFmtId="6" fontId="0" fillId="0" borderId="8" xfId="0" applyNumberFormat="1" applyBorder="1"/>
    <xf numFmtId="166" fontId="0" fillId="0" borderId="5" xfId="1" applyNumberFormat="1" applyFont="1" applyBorder="1"/>
    <xf numFmtId="165" fontId="0" fillId="0" borderId="6" xfId="0" applyNumberFormat="1" applyBorder="1"/>
    <xf numFmtId="166" fontId="0" fillId="0" borderId="3" xfId="1" applyNumberFormat="1" applyFont="1" applyBorder="1"/>
    <xf numFmtId="0" fontId="6" fillId="0" borderId="19" xfId="0" applyFont="1" applyFill="1" applyBorder="1" applyAlignment="1">
      <alignment horizontal="center"/>
    </xf>
    <xf numFmtId="0" fontId="6" fillId="0" borderId="20" xfId="0" applyFont="1" applyBorder="1" applyAlignment="1">
      <alignment horizontal="center"/>
    </xf>
    <xf numFmtId="168" fontId="6" fillId="0" borderId="22" xfId="4" applyNumberFormat="1" applyFont="1" applyBorder="1" applyAlignment="1">
      <alignment horizontal="center"/>
    </xf>
    <xf numFmtId="168" fontId="6" fillId="0" borderId="24" xfId="4" applyNumberFormat="1" applyFont="1" applyBorder="1" applyAlignment="1">
      <alignment horizontal="center"/>
    </xf>
    <xf numFmtId="165" fontId="6" fillId="0" borderId="25" xfId="2" applyNumberFormat="1" applyFont="1" applyFill="1" applyBorder="1" applyAlignment="1">
      <alignment horizontal="center"/>
    </xf>
    <xf numFmtId="0" fontId="5" fillId="0" borderId="26" xfId="0" applyFont="1" applyFill="1" applyBorder="1"/>
    <xf numFmtId="0" fontId="5" fillId="0" borderId="27" xfId="0" applyFont="1" applyFill="1" applyBorder="1"/>
    <xf numFmtId="166" fontId="0" fillId="0" borderId="27" xfId="1" applyNumberFormat="1" applyFont="1" applyBorder="1" applyAlignment="1">
      <alignment horizontal="center"/>
    </xf>
    <xf numFmtId="0" fontId="0" fillId="0" borderId="28" xfId="0" applyBorder="1"/>
    <xf numFmtId="166" fontId="6" fillId="0" borderId="21" xfId="0" applyNumberFormat="1" applyFont="1" applyFill="1" applyBorder="1" applyAlignment="1">
      <alignment horizontal="center"/>
    </xf>
    <xf numFmtId="166" fontId="6" fillId="0" borderId="25" xfId="0" applyNumberFormat="1" applyFont="1" applyFill="1" applyBorder="1" applyAlignment="1">
      <alignment horizontal="center"/>
    </xf>
    <xf numFmtId="166" fontId="0" fillId="0" borderId="10" xfId="1" applyNumberFormat="1" applyFont="1" applyBorder="1"/>
    <xf numFmtId="166" fontId="0" fillId="0" borderId="0" xfId="0" applyNumberFormat="1" applyBorder="1"/>
    <xf numFmtId="166" fontId="0" fillId="0" borderId="3" xfId="0" applyNumberFormat="1" applyBorder="1"/>
    <xf numFmtId="0" fontId="0" fillId="0" borderId="0" xfId="0" applyFont="1" applyBorder="1" applyAlignment="1">
      <alignment horizontal="right"/>
    </xf>
    <xf numFmtId="6" fontId="0" fillId="0" borderId="5" xfId="0" applyNumberFormat="1" applyBorder="1" applyAlignment="1"/>
    <xf numFmtId="6" fontId="0" fillId="0" borderId="5" xfId="0" applyNumberFormat="1" applyBorder="1"/>
    <xf numFmtId="6" fontId="0" fillId="0" borderId="6" xfId="0" applyNumberFormat="1" applyBorder="1"/>
    <xf numFmtId="3" fontId="0" fillId="0" borderId="0" xfId="0" applyNumberFormat="1" applyBorder="1" applyAlignment="1"/>
    <xf numFmtId="3" fontId="0" fillId="0" borderId="0" xfId="0" applyNumberFormat="1" applyBorder="1"/>
    <xf numFmtId="6" fontId="0" fillId="0" borderId="0" xfId="0" applyNumberFormat="1" applyBorder="1" applyAlignment="1"/>
    <xf numFmtId="0" fontId="0" fillId="0" borderId="2" xfId="0" applyFont="1" applyBorder="1"/>
    <xf numFmtId="0" fontId="0" fillId="0" borderId="2" xfId="0" applyFont="1" applyBorder="1" applyAlignment="1">
      <alignment horizontal="center"/>
    </xf>
    <xf numFmtId="9" fontId="0" fillId="0" borderId="2" xfId="4" applyFont="1" applyBorder="1"/>
    <xf numFmtId="3" fontId="0" fillId="0" borderId="2" xfId="0" applyNumberFormat="1" applyBorder="1" applyAlignment="1"/>
    <xf numFmtId="3" fontId="0" fillId="0" borderId="2" xfId="0" applyNumberFormat="1" applyBorder="1"/>
    <xf numFmtId="6" fontId="0" fillId="0" borderId="2" xfId="0" applyNumberFormat="1" applyBorder="1"/>
    <xf numFmtId="0" fontId="0" fillId="0" borderId="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67" fontId="0" fillId="0" borderId="2" xfId="1" applyNumberFormat="1" applyFont="1" applyBorder="1" applyAlignment="1">
      <alignment horizontal="right"/>
    </xf>
    <xf numFmtId="0" fontId="9" fillId="0" borderId="0" xfId="0" applyFont="1" applyBorder="1" applyAlignment="1"/>
    <xf numFmtId="0" fontId="9" fillId="0" borderId="0" xfId="0" applyFont="1" applyBorder="1" applyAlignment="1">
      <alignment horizontal="right"/>
    </xf>
    <xf numFmtId="0" fontId="11" fillId="0" borderId="2" xfId="0" applyFont="1" applyBorder="1" applyAlignment="1">
      <alignment horizontal="right"/>
    </xf>
    <xf numFmtId="0" fontId="9" fillId="0" borderId="0" xfId="0" applyFont="1" applyAlignment="1">
      <alignment horizontal="right"/>
    </xf>
    <xf numFmtId="43" fontId="0" fillId="0" borderId="0" xfId="1" applyFont="1" applyBorder="1"/>
    <xf numFmtId="0" fontId="0" fillId="0" borderId="6" xfId="0" applyBorder="1" applyAlignment="1">
      <alignment horizontal="center"/>
    </xf>
    <xf numFmtId="43" fontId="0" fillId="0" borderId="8" xfId="1" applyFont="1" applyBorder="1"/>
    <xf numFmtId="9" fontId="0" fillId="0" borderId="10" xfId="4" applyFont="1" applyBorder="1"/>
    <xf numFmtId="43" fontId="0" fillId="0" borderId="11" xfId="1" applyFont="1" applyBorder="1"/>
    <xf numFmtId="9" fontId="0" fillId="0" borderId="12" xfId="4" applyFont="1" applyBorder="1"/>
    <xf numFmtId="9" fontId="0" fillId="0" borderId="3" xfId="4" applyFont="1" applyBorder="1"/>
    <xf numFmtId="168" fontId="6" fillId="0" borderId="12" xfId="4" applyNumberFormat="1" applyFont="1" applyBorder="1" applyAlignment="1">
      <alignment horizontal="center"/>
    </xf>
    <xf numFmtId="0" fontId="0" fillId="0" borderId="2" xfId="0" applyBorder="1"/>
    <xf numFmtId="166" fontId="0" fillId="0" borderId="2" xfId="0" applyNumberFormat="1" applyBorder="1"/>
    <xf numFmtId="166" fontId="0" fillId="0" borderId="30" xfId="1" applyNumberFormat="1" applyFont="1" applyBorder="1"/>
    <xf numFmtId="166" fontId="0" fillId="0" borderId="31" xfId="1" applyNumberFormat="1" applyFont="1" applyBorder="1"/>
    <xf numFmtId="168" fontId="6" fillId="0" borderId="32" xfId="4" applyNumberFormat="1" applyFont="1" applyBorder="1" applyAlignment="1"/>
    <xf numFmtId="168" fontId="6" fillId="0" borderId="32" xfId="4" applyNumberFormat="1" applyFont="1" applyBorder="1" applyAlignment="1">
      <alignment horizontal="right"/>
    </xf>
    <xf numFmtId="166" fontId="0" fillId="0" borderId="34" xfId="1" applyNumberFormat="1" applyFont="1" applyBorder="1"/>
    <xf numFmtId="168" fontId="6" fillId="0" borderId="33" xfId="4" applyNumberFormat="1" applyFont="1" applyBorder="1" applyAlignment="1"/>
    <xf numFmtId="168" fontId="6" fillId="0" borderId="33" xfId="4" applyNumberFormat="1" applyFont="1" applyBorder="1" applyAlignment="1">
      <alignment horizontal="right"/>
    </xf>
    <xf numFmtId="0" fontId="0" fillId="0" borderId="2" xfId="0" applyBorder="1" applyAlignment="1">
      <alignment horizontal="right"/>
    </xf>
    <xf numFmtId="168" fontId="8" fillId="4" borderId="33" xfId="6" applyNumberFormat="1" applyBorder="1" applyAlignment="1"/>
    <xf numFmtId="168" fontId="8" fillId="4" borderId="33" xfId="6" applyNumberFormat="1" applyBorder="1" applyAlignment="1">
      <alignment horizontal="right"/>
    </xf>
    <xf numFmtId="0" fontId="12" fillId="0" borderId="0" xfId="0" applyFont="1"/>
    <xf numFmtId="166" fontId="13" fillId="0" borderId="0" xfId="1" applyNumberFormat="1" applyFont="1" applyFill="1" applyBorder="1" applyAlignment="1">
      <alignment horizontal="center"/>
    </xf>
    <xf numFmtId="166" fontId="13" fillId="0" borderId="0" xfId="1" applyNumberFormat="1" applyFont="1" applyFill="1"/>
    <xf numFmtId="43" fontId="0" fillId="0" borderId="0" xfId="0" applyNumberFormat="1" applyFill="1"/>
    <xf numFmtId="166" fontId="0" fillId="0" borderId="0" xfId="1" applyNumberFormat="1" applyFont="1" applyFill="1"/>
    <xf numFmtId="165" fontId="6" fillId="2" borderId="35" xfId="2" applyNumberFormat="1" applyFont="1" applyFill="1" applyBorder="1" applyAlignment="1">
      <alignment horizontal="center"/>
    </xf>
    <xf numFmtId="165" fontId="6" fillId="0" borderId="35" xfId="2" applyNumberFormat="1" applyFont="1" applyFill="1" applyBorder="1" applyAlignment="1">
      <alignment horizontal="center"/>
    </xf>
    <xf numFmtId="0" fontId="17" fillId="0" borderId="2" xfId="0" applyFont="1" applyFill="1" applyBorder="1" applyAlignment="1">
      <alignment horizontal="center"/>
    </xf>
    <xf numFmtId="0" fontId="17" fillId="0" borderId="16" xfId="0" applyFont="1" applyFill="1" applyBorder="1" applyAlignment="1">
      <alignment horizontal="center"/>
    </xf>
    <xf numFmtId="0" fontId="12" fillId="0" borderId="2" xfId="0" applyFont="1" applyBorder="1" applyAlignment="1">
      <alignment horizontal="center"/>
    </xf>
    <xf numFmtId="166" fontId="12" fillId="0" borderId="16" xfId="0" applyNumberFormat="1" applyFont="1" applyBorder="1"/>
    <xf numFmtId="166" fontId="18" fillId="0" borderId="2" xfId="1" applyNumberFormat="1" applyFont="1" applyFill="1" applyBorder="1"/>
    <xf numFmtId="0" fontId="1" fillId="0" borderId="10" xfId="0" applyFont="1" applyBorder="1"/>
    <xf numFmtId="0" fontId="1" fillId="0" borderId="3" xfId="0" applyFont="1" applyBorder="1"/>
    <xf numFmtId="0" fontId="1" fillId="0" borderId="11" xfId="0" applyFont="1" applyBorder="1"/>
    <xf numFmtId="0" fontId="0" fillId="0" borderId="29" xfId="0" applyBorder="1" applyAlignment="1">
      <alignment horizontal="center"/>
    </xf>
    <xf numFmtId="0" fontId="8" fillId="3" borderId="2" xfId="5" applyBorder="1"/>
    <xf numFmtId="0" fontId="8" fillId="3" borderId="2" xfId="5" applyBorder="1" applyAlignment="1">
      <alignment horizontal="right"/>
    </xf>
    <xf numFmtId="9" fontId="8" fillId="3" borderId="2" xfId="5" applyNumberFormat="1" applyBorder="1"/>
    <xf numFmtId="0" fontId="16" fillId="0" borderId="0" xfId="0" applyFont="1"/>
    <xf numFmtId="0" fontId="8" fillId="0" borderId="0" xfId="0" applyFont="1"/>
    <xf numFmtId="165" fontId="8" fillId="0" borderId="0" xfId="2" applyNumberFormat="1" applyFont="1"/>
    <xf numFmtId="0" fontId="1" fillId="0" borderId="0" xfId="0" applyFont="1" applyBorder="1" applyAlignment="1">
      <alignment horizontal="center"/>
    </xf>
    <xf numFmtId="0" fontId="4" fillId="0" borderId="0" xfId="0" applyFont="1" applyFill="1" applyBorder="1" applyAlignment="1">
      <alignment horizontal="center"/>
    </xf>
    <xf numFmtId="0" fontId="8" fillId="0" borderId="0" xfId="5" applyFill="1" applyBorder="1" applyAlignment="1">
      <alignment horizontal="center"/>
    </xf>
    <xf numFmtId="0" fontId="0" fillId="0" borderId="2" xfId="0" applyBorder="1" applyAlignment="1">
      <alignment horizontal="center"/>
    </xf>
    <xf numFmtId="0" fontId="15" fillId="3" borderId="15" xfId="5" applyFont="1" applyBorder="1" applyAlignment="1">
      <alignment horizontal="center"/>
    </xf>
    <xf numFmtId="166" fontId="0" fillId="0" borderId="13" xfId="0" applyNumberFormat="1" applyBorder="1"/>
    <xf numFmtId="0" fontId="20" fillId="3" borderId="2" xfId="5" applyFont="1" applyBorder="1"/>
    <xf numFmtId="0" fontId="21" fillId="3" borderId="2" xfId="5" applyFont="1" applyBorder="1"/>
    <xf numFmtId="0" fontId="8" fillId="3" borderId="2" xfId="5" applyBorder="1" applyAlignment="1">
      <alignment horizontal="center"/>
    </xf>
    <xf numFmtId="166" fontId="8" fillId="3" borderId="2" xfId="5" applyNumberFormat="1" applyBorder="1"/>
    <xf numFmtId="167" fontId="0" fillId="0" borderId="2" xfId="1" applyNumberFormat="1" applyFont="1" applyBorder="1" applyAlignment="1">
      <alignment horizontal="center"/>
    </xf>
    <xf numFmtId="166" fontId="8" fillId="3" borderId="14" xfId="5" applyNumberFormat="1" applyBorder="1"/>
    <xf numFmtId="166" fontId="8" fillId="3" borderId="10" xfId="5" applyNumberFormat="1" applyBorder="1"/>
    <xf numFmtId="16" fontId="0" fillId="0" borderId="0" xfId="0" applyNumberFormat="1" applyBorder="1"/>
    <xf numFmtId="0" fontId="0" fillId="0" borderId="39" xfId="0" applyBorder="1"/>
    <xf numFmtId="0" fontId="0" fillId="0" borderId="40" xfId="0" applyBorder="1"/>
    <xf numFmtId="166" fontId="0" fillId="0" borderId="41" xfId="1" applyNumberFormat="1" applyFont="1" applyBorder="1"/>
    <xf numFmtId="0" fontId="0" fillId="0" borderId="42" xfId="0" applyBorder="1"/>
    <xf numFmtId="166" fontId="0" fillId="0" borderId="43" xfId="0" applyNumberFormat="1" applyBorder="1"/>
    <xf numFmtId="0" fontId="0" fillId="0" borderId="43" xfId="0" applyBorder="1"/>
    <xf numFmtId="0" fontId="0" fillId="0" borderId="44" xfId="0" applyBorder="1"/>
    <xf numFmtId="0" fontId="0" fillId="0" borderId="45" xfId="0" applyBorder="1"/>
    <xf numFmtId="0" fontId="0" fillId="0" borderId="46" xfId="0" applyBorder="1"/>
    <xf numFmtId="166" fontId="0" fillId="0" borderId="31" xfId="0" applyNumberFormat="1" applyBorder="1" applyAlignment="1">
      <alignment horizontal="center"/>
    </xf>
    <xf numFmtId="0" fontId="0" fillId="0" borderId="13" xfId="0" applyBorder="1"/>
    <xf numFmtId="166" fontId="8" fillId="3" borderId="15" xfId="5" applyNumberFormat="1" applyBorder="1"/>
    <xf numFmtId="166" fontId="8" fillId="3" borderId="16" xfId="5" applyNumberFormat="1" applyBorder="1"/>
    <xf numFmtId="10" fontId="23" fillId="2" borderId="35" xfId="2" applyNumberFormat="1" applyFont="1" applyFill="1" applyBorder="1" applyAlignment="1">
      <alignment horizontal="center"/>
    </xf>
    <xf numFmtId="166" fontId="6" fillId="2" borderId="35" xfId="1" applyNumberFormat="1" applyFont="1" applyFill="1" applyBorder="1" applyAlignment="1">
      <alignment horizontal="center"/>
    </xf>
    <xf numFmtId="0" fontId="1" fillId="5" borderId="4" xfId="0" applyFont="1" applyFill="1" applyBorder="1"/>
    <xf numFmtId="0" fontId="1" fillId="5" borderId="9" xfId="0" applyFont="1" applyFill="1" applyBorder="1"/>
    <xf numFmtId="0" fontId="0" fillId="5" borderId="9" xfId="0" applyFill="1" applyBorder="1"/>
    <xf numFmtId="0" fontId="0" fillId="5" borderId="10" xfId="0" applyFill="1" applyBorder="1"/>
    <xf numFmtId="0" fontId="22" fillId="5" borderId="8" xfId="0" applyFont="1" applyFill="1" applyBorder="1"/>
    <xf numFmtId="166" fontId="22" fillId="5" borderId="8" xfId="0" applyNumberFormat="1" applyFont="1" applyFill="1" applyBorder="1"/>
    <xf numFmtId="169" fontId="22" fillId="5" borderId="8" xfId="0" applyNumberFormat="1" applyFont="1" applyFill="1" applyBorder="1"/>
    <xf numFmtId="169" fontId="22" fillId="5" borderId="11" xfId="0" applyNumberFormat="1" applyFont="1" applyFill="1" applyBorder="1"/>
    <xf numFmtId="0" fontId="1" fillId="0" borderId="0" xfId="0" applyFont="1" applyBorder="1"/>
    <xf numFmtId="165" fontId="6" fillId="0" borderId="3" xfId="0" applyNumberFormat="1" applyFont="1" applyFill="1" applyBorder="1" applyAlignment="1">
      <alignment horizontal="center"/>
    </xf>
    <xf numFmtId="165" fontId="9" fillId="0" borderId="2" xfId="2" applyNumberFormat="1" applyFont="1" applyBorder="1" applyAlignment="1">
      <alignment horizontal="right"/>
    </xf>
    <xf numFmtId="0" fontId="11" fillId="0" borderId="51" xfId="0" applyFont="1" applyBorder="1" applyAlignment="1">
      <alignment horizontal="right" wrapText="1"/>
    </xf>
    <xf numFmtId="0" fontId="11" fillId="0" borderId="52" xfId="0" applyFont="1" applyBorder="1" applyAlignment="1">
      <alignment horizontal="right"/>
    </xf>
    <xf numFmtId="165" fontId="9" fillId="0" borderId="51" xfId="2" applyNumberFormat="1" applyFont="1" applyBorder="1" applyAlignment="1">
      <alignment horizontal="right"/>
    </xf>
    <xf numFmtId="165" fontId="9" fillId="0" borderId="52" xfId="2" applyNumberFormat="1" applyFont="1" applyBorder="1" applyAlignment="1">
      <alignment horizontal="right"/>
    </xf>
    <xf numFmtId="165" fontId="11" fillId="6" borderId="53" xfId="7" applyNumberFormat="1" applyFont="1" applyBorder="1" applyAlignment="1">
      <alignment horizontal="right"/>
    </xf>
    <xf numFmtId="165" fontId="11" fillId="6" borderId="50" xfId="7" applyNumberFormat="1" applyFont="1" applyBorder="1" applyAlignment="1">
      <alignment horizontal="right"/>
    </xf>
    <xf numFmtId="165" fontId="11" fillId="6" borderId="54" xfId="7" applyNumberFormat="1" applyFont="1" applyBorder="1" applyAlignment="1">
      <alignment horizontal="right"/>
    </xf>
    <xf numFmtId="165" fontId="11" fillId="6" borderId="55" xfId="7" applyNumberFormat="1" applyFont="1" applyBorder="1" applyAlignment="1">
      <alignment horizontal="right"/>
    </xf>
    <xf numFmtId="165" fontId="11" fillId="6" borderId="56" xfId="7" applyNumberFormat="1" applyFont="1" applyBorder="1" applyAlignment="1">
      <alignment horizontal="right"/>
    </xf>
    <xf numFmtId="165" fontId="11" fillId="6" borderId="57" xfId="7" applyNumberFormat="1" applyFont="1" applyBorder="1" applyAlignment="1">
      <alignment horizontal="right"/>
    </xf>
    <xf numFmtId="0" fontId="10" fillId="3" borderId="58" xfId="5" applyFont="1" applyBorder="1" applyAlignment="1"/>
    <xf numFmtId="0" fontId="10" fillId="3" borderId="59" xfId="5" applyFont="1" applyBorder="1" applyAlignment="1"/>
    <xf numFmtId="0" fontId="10" fillId="3" borderId="60" xfId="5" applyFont="1" applyBorder="1" applyAlignment="1"/>
    <xf numFmtId="0" fontId="0" fillId="6" borderId="62" xfId="7" applyFont="1" applyBorder="1"/>
    <xf numFmtId="0" fontId="11" fillId="6" borderId="63" xfId="7" applyFont="1" applyBorder="1" applyAlignment="1">
      <alignment horizontal="right"/>
    </xf>
    <xf numFmtId="0" fontId="0" fillId="6" borderId="55" xfId="7" applyFont="1" applyBorder="1"/>
    <xf numFmtId="0" fontId="11" fillId="6" borderId="57" xfId="7" applyFont="1" applyBorder="1" applyAlignment="1">
      <alignment horizontal="right"/>
    </xf>
    <xf numFmtId="166" fontId="6" fillId="2" borderId="0" xfId="1" applyNumberFormat="1" applyFont="1" applyFill="1" applyBorder="1" applyAlignment="1">
      <alignment horizontal="center"/>
    </xf>
    <xf numFmtId="0" fontId="1" fillId="0" borderId="0" xfId="0" applyFont="1" applyAlignment="1">
      <alignment horizontal="center"/>
    </xf>
    <xf numFmtId="0" fontId="1" fillId="0" borderId="15" xfId="0" applyFont="1" applyBorder="1" applyAlignment="1">
      <alignment horizontal="center"/>
    </xf>
    <xf numFmtId="0" fontId="1" fillId="0" borderId="20" xfId="0" applyFont="1" applyBorder="1" applyAlignment="1">
      <alignment horizontal="center"/>
    </xf>
    <xf numFmtId="0" fontId="4" fillId="0" borderId="15" xfId="0" applyFont="1" applyFill="1" applyBorder="1" applyAlignment="1">
      <alignment horizontal="center"/>
    </xf>
    <xf numFmtId="0" fontId="4" fillId="0" borderId="20" xfId="0" applyFont="1" applyFill="1" applyBorder="1" applyAlignment="1">
      <alignment horizontal="center"/>
    </xf>
    <xf numFmtId="0" fontId="8" fillId="3" borderId="17" xfId="5" applyBorder="1" applyAlignment="1">
      <alignment horizontal="center"/>
    </xf>
    <xf numFmtId="0" fontId="8" fillId="3" borderId="18" xfId="5" applyBorder="1" applyAlignment="1">
      <alignment horizontal="center"/>
    </xf>
    <xf numFmtId="0" fontId="1" fillId="0" borderId="0" xfId="0" applyFont="1" applyAlignment="1">
      <alignment horizontal="center"/>
    </xf>
    <xf numFmtId="0" fontId="0" fillId="0" borderId="0" xfId="0" applyAlignment="1">
      <alignment horizontal="center"/>
    </xf>
    <xf numFmtId="0" fontId="1" fillId="0" borderId="15" xfId="0" applyFont="1" applyBorder="1" applyAlignment="1">
      <alignment horizontal="center"/>
    </xf>
    <xf numFmtId="0" fontId="1" fillId="0" borderId="20" xfId="0" applyFont="1" applyBorder="1" applyAlignment="1">
      <alignment horizontal="center"/>
    </xf>
    <xf numFmtId="0" fontId="4" fillId="0" borderId="15" xfId="0" applyFont="1" applyFill="1" applyBorder="1" applyAlignment="1">
      <alignment horizontal="center"/>
    </xf>
    <xf numFmtId="0" fontId="4" fillId="0" borderId="20" xfId="0" applyFont="1" applyFill="1" applyBorder="1" applyAlignment="1">
      <alignment horizontal="center"/>
    </xf>
    <xf numFmtId="0" fontId="1" fillId="0" borderId="10" xfId="0" applyFont="1" applyBorder="1" applyAlignment="1">
      <alignment horizontal="center"/>
    </xf>
    <xf numFmtId="0" fontId="1" fillId="0" borderId="3" xfId="0" applyFont="1" applyBorder="1" applyAlignment="1">
      <alignment horizontal="center"/>
    </xf>
    <xf numFmtId="0" fontId="1" fillId="0" borderId="11" xfId="0" applyFont="1" applyBorder="1" applyAlignment="1">
      <alignment horizontal="center"/>
    </xf>
    <xf numFmtId="165" fontId="6" fillId="2" borderId="64" xfId="2" applyNumberFormat="1" applyFont="1" applyFill="1" applyBorder="1" applyAlignment="1">
      <alignment horizontal="center"/>
    </xf>
    <xf numFmtId="166" fontId="6" fillId="2" borderId="64" xfId="1" applyNumberFormat="1" applyFont="1" applyFill="1" applyBorder="1" applyAlignment="1">
      <alignment horizontal="center"/>
    </xf>
    <xf numFmtId="165" fontId="6" fillId="2" borderId="66" xfId="2" applyNumberFormat="1" applyFont="1" applyFill="1" applyBorder="1" applyAlignment="1">
      <alignment horizontal="center"/>
    </xf>
    <xf numFmtId="0" fontId="6" fillId="0" borderId="16" xfId="0" applyFont="1" applyFill="1" applyBorder="1" applyAlignment="1">
      <alignment horizontal="center"/>
    </xf>
    <xf numFmtId="0" fontId="6" fillId="0" borderId="6" xfId="0" applyFont="1" applyFill="1" applyBorder="1" applyAlignment="1">
      <alignment horizontal="center"/>
    </xf>
    <xf numFmtId="0" fontId="6" fillId="0" borderId="11" xfId="0" applyFont="1" applyFill="1" applyBorder="1" applyAlignment="1">
      <alignment horizontal="center"/>
    </xf>
    <xf numFmtId="165" fontId="6" fillId="0" borderId="8" xfId="2" applyNumberFormat="1" applyFont="1" applyFill="1" applyBorder="1" applyAlignment="1">
      <alignment horizontal="center"/>
    </xf>
    <xf numFmtId="0" fontId="5" fillId="0" borderId="11" xfId="0" applyFont="1" applyFill="1" applyBorder="1"/>
    <xf numFmtId="165" fontId="6" fillId="2" borderId="67" xfId="2" applyNumberFormat="1" applyFont="1" applyFill="1" applyBorder="1" applyAlignment="1">
      <alignment horizontal="center"/>
    </xf>
    <xf numFmtId="166" fontId="6" fillId="2" borderId="68" xfId="1" applyNumberFormat="1" applyFont="1" applyFill="1" applyBorder="1" applyAlignment="1">
      <alignment horizontal="center"/>
    </xf>
    <xf numFmtId="165" fontId="6" fillId="0" borderId="6" xfId="2" applyNumberFormat="1" applyFont="1" applyFill="1" applyBorder="1" applyAlignment="1">
      <alignment horizontal="center"/>
    </xf>
    <xf numFmtId="165" fontId="6" fillId="2" borderId="65" xfId="2" applyNumberFormat="1" applyFont="1" applyFill="1" applyBorder="1" applyAlignment="1">
      <alignment horizontal="center"/>
    </xf>
    <xf numFmtId="165" fontId="6" fillId="0" borderId="6" xfId="2" applyNumberFormat="1" applyFont="1" applyBorder="1" applyAlignment="1">
      <alignment horizontal="center"/>
    </xf>
    <xf numFmtId="0" fontId="1" fillId="2" borderId="10" xfId="0" applyFont="1" applyFill="1" applyBorder="1"/>
    <xf numFmtId="0" fontId="1" fillId="2" borderId="3" xfId="0" applyFont="1" applyFill="1" applyBorder="1"/>
    <xf numFmtId="166" fontId="6" fillId="0" borderId="9" xfId="1" applyNumberFormat="1" applyFont="1" applyFill="1" applyBorder="1" applyAlignment="1">
      <alignment horizontal="center"/>
    </xf>
    <xf numFmtId="166" fontId="6" fillId="0" borderId="10" xfId="1" applyNumberFormat="1" applyFont="1" applyFill="1" applyBorder="1" applyAlignment="1">
      <alignment horizontal="center"/>
    </xf>
    <xf numFmtId="0" fontId="1" fillId="2" borderId="3" xfId="0" applyFont="1" applyFill="1" applyBorder="1" applyAlignment="1">
      <alignment horizontal="center"/>
    </xf>
    <xf numFmtId="0" fontId="1" fillId="0" borderId="0" xfId="0" applyFont="1" applyAlignment="1">
      <alignment horizontal="center"/>
    </xf>
    <xf numFmtId="0" fontId="0" fillId="0" borderId="0" xfId="0" applyAlignment="1">
      <alignment horizontal="center"/>
    </xf>
    <xf numFmtId="0" fontId="1" fillId="0" borderId="15" xfId="0" applyFont="1" applyBorder="1" applyAlignment="1">
      <alignment horizontal="center"/>
    </xf>
    <xf numFmtId="0" fontId="4" fillId="0" borderId="15" xfId="0" applyFont="1" applyFill="1" applyBorder="1" applyAlignment="1">
      <alignment horizontal="center"/>
    </xf>
    <xf numFmtId="0" fontId="1" fillId="0" borderId="20" xfId="0" applyFont="1" applyBorder="1" applyAlignment="1">
      <alignment horizontal="center"/>
    </xf>
    <xf numFmtId="0" fontId="4" fillId="0" borderId="20" xfId="0" applyFont="1" applyFill="1" applyBorder="1" applyAlignment="1">
      <alignment horizontal="center"/>
    </xf>
    <xf numFmtId="165" fontId="6" fillId="0" borderId="2" xfId="2" applyNumberFormat="1" applyFont="1" applyBorder="1" applyAlignment="1">
      <alignment horizontal="center"/>
    </xf>
    <xf numFmtId="165" fontId="0" fillId="0" borderId="69" xfId="0" applyNumberFormat="1" applyBorder="1"/>
    <xf numFmtId="0" fontId="1" fillId="0" borderId="0" xfId="0" applyFont="1" applyAlignment="1">
      <alignment horizontal="center"/>
    </xf>
    <xf numFmtId="0" fontId="0" fillId="0" borderId="0" xfId="0" applyAlignment="1">
      <alignment horizontal="center"/>
    </xf>
    <xf numFmtId="0" fontId="1" fillId="0" borderId="15" xfId="0" applyFont="1" applyBorder="1" applyAlignment="1">
      <alignment horizontal="center"/>
    </xf>
    <xf numFmtId="0" fontId="4" fillId="0" borderId="15" xfId="0" applyFont="1" applyFill="1" applyBorder="1" applyAlignment="1">
      <alignment horizontal="center"/>
    </xf>
    <xf numFmtId="0" fontId="1" fillId="0" borderId="20" xfId="0" applyFont="1" applyBorder="1" applyAlignment="1">
      <alignment horizontal="center"/>
    </xf>
    <xf numFmtId="0" fontId="4" fillId="0" borderId="20" xfId="0" applyFont="1" applyFill="1" applyBorder="1" applyAlignment="1">
      <alignment horizontal="center"/>
    </xf>
    <xf numFmtId="0" fontId="8" fillId="3" borderId="4" xfId="5" applyBorder="1" applyAlignment="1">
      <alignment horizontal="center"/>
    </xf>
    <xf numFmtId="165" fontId="6" fillId="0" borderId="5" xfId="0" applyNumberFormat="1" applyFont="1" applyFill="1" applyBorder="1" applyAlignment="1">
      <alignment horizontal="center"/>
    </xf>
    <xf numFmtId="166" fontId="6" fillId="0" borderId="10" xfId="1" applyNumberFormat="1" applyFont="1" applyBorder="1" applyAlignment="1">
      <alignment horizontal="center"/>
    </xf>
    <xf numFmtId="0" fontId="1" fillId="0" borderId="5" xfId="0" applyFont="1" applyBorder="1"/>
    <xf numFmtId="0" fontId="1" fillId="0" borderId="6" xfId="0" applyFont="1" applyBorder="1"/>
    <xf numFmtId="0" fontId="6" fillId="0" borderId="8" xfId="0" applyFont="1" applyFill="1" applyBorder="1" applyAlignment="1">
      <alignment horizontal="center"/>
    </xf>
    <xf numFmtId="165" fontId="6" fillId="2" borderId="70" xfId="2" applyNumberFormat="1" applyFont="1" applyFill="1" applyBorder="1" applyAlignment="1">
      <alignment horizontal="center"/>
    </xf>
    <xf numFmtId="165" fontId="0" fillId="0" borderId="69" xfId="2" applyNumberFormat="1" applyFont="1" applyBorder="1"/>
    <xf numFmtId="166" fontId="8" fillId="3" borderId="5" xfId="5" applyNumberFormat="1" applyBorder="1"/>
    <xf numFmtId="166" fontId="8" fillId="3" borderId="6" xfId="5" applyNumberFormat="1" applyBorder="1"/>
    <xf numFmtId="0" fontId="8" fillId="3" borderId="0" xfId="5" applyBorder="1"/>
    <xf numFmtId="167" fontId="8" fillId="3" borderId="15" xfId="5" applyNumberFormat="1" applyBorder="1"/>
    <xf numFmtId="167" fontId="8" fillId="3" borderId="5" xfId="5" applyNumberFormat="1" applyBorder="1"/>
    <xf numFmtId="0" fontId="8" fillId="3" borderId="14" xfId="5" applyBorder="1"/>
    <xf numFmtId="0" fontId="8" fillId="3" borderId="15" xfId="5" applyBorder="1" applyAlignment="1">
      <alignment horizontal="center"/>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1" fillId="0" borderId="15" xfId="0" applyFont="1" applyBorder="1" applyAlignment="1">
      <alignment horizontal="center"/>
    </xf>
    <xf numFmtId="0" fontId="4" fillId="0" borderId="15" xfId="0" applyFont="1" applyFill="1" applyBorder="1" applyAlignment="1">
      <alignment horizontal="center"/>
    </xf>
    <xf numFmtId="0" fontId="1" fillId="0" borderId="20" xfId="0" applyFont="1" applyBorder="1" applyAlignment="1">
      <alignment horizontal="center"/>
    </xf>
    <xf numFmtId="0" fontId="4" fillId="0" borderId="20" xfId="0" applyFont="1" applyFill="1" applyBorder="1" applyAlignment="1">
      <alignment horizontal="center"/>
    </xf>
    <xf numFmtId="170" fontId="0" fillId="0" borderId="0" xfId="0" applyNumberFormat="1" applyBorder="1"/>
    <xf numFmtId="0" fontId="0" fillId="0" borderId="0" xfId="0" applyAlignment="1"/>
    <xf numFmtId="0" fontId="22" fillId="5" borderId="8" xfId="0" applyFont="1" applyFill="1" applyBorder="1" applyAlignment="1">
      <alignment horizontal="right"/>
    </xf>
    <xf numFmtId="0" fontId="0" fillId="0" borderId="0" xfId="0" applyFill="1" applyBorder="1"/>
    <xf numFmtId="166" fontId="22" fillId="5" borderId="8" xfId="0" applyNumberFormat="1" applyFont="1" applyFill="1" applyBorder="1" applyAlignment="1">
      <alignment horizontal="right"/>
    </xf>
    <xf numFmtId="169" fontId="22" fillId="5" borderId="8" xfId="0" applyNumberFormat="1" applyFont="1" applyFill="1" applyBorder="1" applyAlignment="1">
      <alignment horizontal="right"/>
    </xf>
    <xf numFmtId="0" fontId="0" fillId="7" borderId="0" xfId="0" applyFill="1" applyAlignment="1">
      <alignment horizontal="center"/>
    </xf>
    <xf numFmtId="0" fontId="0" fillId="7" borderId="4" xfId="0" applyFill="1" applyBorder="1" applyAlignment="1">
      <alignment horizontal="center"/>
    </xf>
    <xf numFmtId="0" fontId="8" fillId="2" borderId="14" xfId="5" applyFill="1" applyBorder="1" applyAlignment="1">
      <alignment horizontal="center"/>
    </xf>
    <xf numFmtId="0" fontId="8" fillId="2" borderId="15" xfId="5" applyFill="1" applyBorder="1" applyAlignment="1">
      <alignment horizontal="center"/>
    </xf>
    <xf numFmtId="0" fontId="27" fillId="2" borderId="15" xfId="5" applyFont="1" applyFill="1" applyBorder="1" applyAlignment="1">
      <alignment horizontal="center"/>
    </xf>
    <xf numFmtId="0" fontId="8" fillId="2" borderId="16" xfId="5" applyFill="1" applyBorder="1" applyAlignment="1">
      <alignment horizontal="center"/>
    </xf>
    <xf numFmtId="0" fontId="29" fillId="0" borderId="0" xfId="0" applyFont="1"/>
    <xf numFmtId="0" fontId="4" fillId="0" borderId="0" xfId="0" applyFont="1" applyBorder="1" applyAlignment="1">
      <alignment horizontal="center"/>
    </xf>
    <xf numFmtId="0" fontId="4" fillId="0" borderId="9" xfId="0" applyFont="1" applyFill="1" applyBorder="1" applyAlignment="1">
      <alignment horizontal="center"/>
    </xf>
    <xf numFmtId="166" fontId="6" fillId="0" borderId="9" xfId="1" applyNumberFormat="1" applyFont="1" applyBorder="1" applyAlignment="1">
      <alignment horizontal="center"/>
    </xf>
    <xf numFmtId="6" fontId="0" fillId="0" borderId="0" xfId="0" applyNumberFormat="1" applyAlignment="1">
      <alignment horizontal="right"/>
    </xf>
    <xf numFmtId="6" fontId="1" fillId="0" borderId="0" xfId="0" applyNumberFormat="1" applyFont="1"/>
    <xf numFmtId="0" fontId="30" fillId="0" borderId="0" xfId="0" applyFont="1"/>
    <xf numFmtId="0" fontId="31" fillId="0" borderId="0" xfId="0" applyFont="1" applyFill="1" applyBorder="1"/>
    <xf numFmtId="0" fontId="32" fillId="0" borderId="0" xfId="0" applyFont="1" applyFill="1" applyBorder="1" applyAlignment="1">
      <alignment horizontal="right"/>
    </xf>
    <xf numFmtId="0" fontId="1" fillId="0" borderId="0" xfId="0" applyFont="1" applyAlignment="1">
      <alignment horizontal="right"/>
    </xf>
    <xf numFmtId="0" fontId="22" fillId="0" borderId="0" xfId="0" applyFont="1"/>
    <xf numFmtId="2" fontId="0" fillId="0" borderId="2" xfId="0" applyNumberFormat="1" applyBorder="1" applyAlignment="1">
      <alignment horizontal="center"/>
    </xf>
    <xf numFmtId="2" fontId="0" fillId="0" borderId="0" xfId="0" applyNumberFormat="1" applyBorder="1" applyAlignment="1">
      <alignment horizontal="center"/>
    </xf>
    <xf numFmtId="2" fontId="0" fillId="0" borderId="0" xfId="0" applyNumberFormat="1"/>
    <xf numFmtId="9" fontId="0" fillId="0" borderId="2" xfId="4" applyFont="1" applyBorder="1" applyAlignment="1">
      <alignment horizontal="center"/>
    </xf>
    <xf numFmtId="6" fontId="29" fillId="0" borderId="0" xfId="0" applyNumberFormat="1" applyFont="1"/>
    <xf numFmtId="168" fontId="29" fillId="0" borderId="0" xfId="4" applyNumberFormat="1" applyFont="1"/>
    <xf numFmtId="43" fontId="22" fillId="0" borderId="0" xfId="1" applyFont="1"/>
    <xf numFmtId="8" fontId="0" fillId="0" borderId="0" xfId="0" applyNumberFormat="1"/>
    <xf numFmtId="0" fontId="0" fillId="0" borderId="2" xfId="0" applyBorder="1" applyAlignment="1">
      <alignment horizontal="center"/>
    </xf>
    <xf numFmtId="0" fontId="1" fillId="0" borderId="0" xfId="0" applyFont="1" applyAlignment="1">
      <alignment horizontal="center"/>
    </xf>
    <xf numFmtId="0" fontId="0" fillId="0" borderId="0" xfId="0" applyAlignment="1">
      <alignment horizontal="center"/>
    </xf>
    <xf numFmtId="0" fontId="4" fillId="0" borderId="0" xfId="0" applyFont="1" applyBorder="1" applyAlignment="1">
      <alignment horizontal="center"/>
    </xf>
    <xf numFmtId="0" fontId="4" fillId="0" borderId="15" xfId="0" applyFont="1" applyFill="1" applyBorder="1" applyAlignment="1">
      <alignment horizontal="center"/>
    </xf>
    <xf numFmtId="0" fontId="4" fillId="0" borderId="20" xfId="0" applyFont="1" applyFill="1" applyBorder="1" applyAlignment="1">
      <alignment horizontal="center"/>
    </xf>
    <xf numFmtId="165" fontId="6" fillId="8" borderId="9" xfId="2" applyNumberFormat="1" applyFont="1" applyFill="1" applyBorder="1" applyAlignment="1">
      <alignment horizontal="center"/>
    </xf>
    <xf numFmtId="165" fontId="6" fillId="0" borderId="11" xfId="2" applyNumberFormat="1" applyFont="1" applyFill="1" applyBorder="1" applyAlignment="1">
      <alignment horizontal="center"/>
    </xf>
    <xf numFmtId="165" fontId="6" fillId="2" borderId="71" xfId="2" applyNumberFormat="1" applyFont="1" applyFill="1" applyBorder="1" applyAlignment="1">
      <alignment horizontal="center"/>
    </xf>
    <xf numFmtId="166" fontId="6" fillId="2" borderId="72" xfId="1" applyNumberFormat="1" applyFont="1" applyFill="1" applyBorder="1" applyAlignment="1">
      <alignment horizontal="center"/>
    </xf>
    <xf numFmtId="165" fontId="6" fillId="0" borderId="0" xfId="0" applyNumberFormat="1" applyFont="1" applyFill="1" applyBorder="1" applyAlignment="1">
      <alignment horizontal="center"/>
    </xf>
    <xf numFmtId="43" fontId="0" fillId="0" borderId="0" xfId="0" applyNumberFormat="1" applyBorder="1"/>
    <xf numFmtId="168" fontId="0" fillId="0" borderId="2" xfId="4" applyNumberFormat="1" applyFont="1" applyBorder="1"/>
    <xf numFmtId="167" fontId="0" fillId="0" borderId="2" xfId="1" applyNumberFormat="1" applyFont="1" applyBorder="1"/>
    <xf numFmtId="43" fontId="0" fillId="0" borderId="2" xfId="0" applyNumberFormat="1" applyBorder="1"/>
    <xf numFmtId="167" fontId="0" fillId="0" borderId="9" xfId="1" applyNumberFormat="1" applyFont="1" applyBorder="1"/>
    <xf numFmtId="167" fontId="0" fillId="0" borderId="0" xfId="1" applyNumberFormat="1" applyFont="1" applyBorder="1"/>
    <xf numFmtId="166" fontId="0" fillId="0" borderId="2" xfId="1" applyNumberFormat="1" applyFont="1" applyBorder="1"/>
    <xf numFmtId="166" fontId="6" fillId="2" borderId="73" xfId="1" applyNumberFormat="1" applyFont="1" applyFill="1" applyBorder="1" applyAlignment="1">
      <alignment horizontal="center"/>
    </xf>
    <xf numFmtId="166" fontId="0" fillId="0" borderId="0" xfId="1" applyNumberFormat="1" applyFont="1" applyAlignment="1">
      <alignment horizontal="center"/>
    </xf>
    <xf numFmtId="0" fontId="33" fillId="10" borderId="0" xfId="9" applyFont="1"/>
    <xf numFmtId="0" fontId="12" fillId="0" borderId="0" xfId="0" applyFont="1" applyAlignment="1">
      <alignment wrapText="1"/>
    </xf>
    <xf numFmtId="0" fontId="33" fillId="10" borderId="0" xfId="9" applyFont="1" applyAlignment="1">
      <alignment wrapText="1"/>
    </xf>
    <xf numFmtId="0" fontId="33" fillId="11" borderId="0" xfId="9" applyFont="1" applyFill="1" applyAlignment="1">
      <alignment wrapText="1"/>
    </xf>
    <xf numFmtId="165" fontId="6" fillId="0" borderId="29" xfId="2" applyNumberFormat="1" applyFont="1" applyFill="1" applyBorder="1" applyAlignment="1">
      <alignment horizontal="center"/>
    </xf>
    <xf numFmtId="165" fontId="6" fillId="0" borderId="12" xfId="2" applyNumberFormat="1" applyFont="1" applyFill="1" applyBorder="1" applyAlignment="1">
      <alignment horizontal="center"/>
    </xf>
    <xf numFmtId="0" fontId="8" fillId="3" borderId="4" xfId="5" applyBorder="1" applyAlignment="1">
      <alignment horizontal="center"/>
    </xf>
    <xf numFmtId="0" fontId="8" fillId="3" borderId="5" xfId="5" applyBorder="1" applyAlignment="1">
      <alignment horizontal="center"/>
    </xf>
    <xf numFmtId="0" fontId="8" fillId="3" borderId="6" xfId="5" applyBorder="1" applyAlignment="1">
      <alignment horizontal="center"/>
    </xf>
    <xf numFmtId="171" fontId="23" fillId="2" borderId="35" xfId="2" applyNumberFormat="1" applyFont="1" applyFill="1" applyBorder="1" applyAlignment="1">
      <alignment horizontal="center"/>
    </xf>
    <xf numFmtId="0" fontId="1" fillId="2" borderId="10" xfId="0" applyFont="1" applyFill="1" applyBorder="1" applyAlignment="1">
      <alignment horizontal="center"/>
    </xf>
    <xf numFmtId="0" fontId="8" fillId="3" borderId="4" xfId="5" applyBorder="1" applyAlignment="1"/>
    <xf numFmtId="0" fontId="8" fillId="3" borderId="5" xfId="5" applyBorder="1" applyAlignment="1"/>
    <xf numFmtId="0" fontId="8" fillId="3" borderId="6" xfId="5" applyBorder="1" applyAlignment="1"/>
    <xf numFmtId="0" fontId="1" fillId="0" borderId="0" xfId="0" applyFont="1" applyAlignment="1">
      <alignment horizontal="center"/>
    </xf>
    <xf numFmtId="0" fontId="0" fillId="0" borderId="0" xfId="0"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35" fillId="0" borderId="0" xfId="0" applyFont="1"/>
    <xf numFmtId="0" fontId="37" fillId="0" borderId="5" xfId="0" applyFont="1" applyFill="1" applyBorder="1" applyAlignment="1">
      <alignment horizontal="center"/>
    </xf>
    <xf numFmtId="0" fontId="37" fillId="0" borderId="6" xfId="0" applyFont="1" applyFill="1" applyBorder="1" applyAlignment="1">
      <alignment horizontal="center"/>
    </xf>
    <xf numFmtId="165" fontId="37" fillId="0" borderId="9" xfId="2" applyNumberFormat="1" applyFont="1" applyBorder="1" applyAlignment="1">
      <alignment horizontal="center"/>
    </xf>
    <xf numFmtId="166" fontId="37" fillId="0" borderId="0" xfId="1" applyNumberFormat="1" applyFont="1" applyBorder="1" applyAlignment="1">
      <alignment horizontal="center"/>
    </xf>
    <xf numFmtId="165" fontId="6" fillId="12" borderId="2" xfId="2" applyNumberFormat="1" applyFont="1" applyFill="1" applyBorder="1" applyAlignment="1">
      <alignment horizontal="center"/>
    </xf>
    <xf numFmtId="0" fontId="1" fillId="0" borderId="0" xfId="0" applyFont="1" applyAlignment="1">
      <alignment horizontal="center"/>
    </xf>
    <xf numFmtId="0" fontId="4" fillId="0" borderId="0" xfId="0" applyFont="1" applyBorder="1" applyAlignment="1">
      <alignment horizontal="center"/>
    </xf>
    <xf numFmtId="0" fontId="1" fillId="0" borderId="0" xfId="0" applyFont="1" applyFill="1" applyBorder="1"/>
    <xf numFmtId="10" fontId="23" fillId="0" borderId="0" xfId="2" applyNumberFormat="1" applyFont="1" applyFill="1" applyBorder="1" applyAlignment="1">
      <alignment horizontal="center"/>
    </xf>
    <xf numFmtId="0" fontId="22" fillId="0" borderId="0" xfId="0" applyFont="1" applyFill="1" applyBorder="1"/>
    <xf numFmtId="166" fontId="22" fillId="0" borderId="0" xfId="0" applyNumberFormat="1" applyFont="1" applyFill="1" applyBorder="1"/>
    <xf numFmtId="169" fontId="22" fillId="0" borderId="0" xfId="0" applyNumberFormat="1" applyFont="1" applyFill="1" applyBorder="1"/>
    <xf numFmtId="0" fontId="6" fillId="0" borderId="4" xfId="0" applyFont="1" applyBorder="1" applyAlignment="1">
      <alignment horizontal="center"/>
    </xf>
    <xf numFmtId="166" fontId="23" fillId="0" borderId="0" xfId="1" applyNumberFormat="1" applyFont="1" applyBorder="1" applyAlignment="1">
      <alignment horizontal="center"/>
    </xf>
    <xf numFmtId="165" fontId="23" fillId="0" borderId="8" xfId="2" applyNumberFormat="1" applyFont="1" applyFill="1" applyBorder="1" applyAlignment="1">
      <alignment horizontal="center"/>
    </xf>
    <xf numFmtId="0" fontId="1" fillId="0" borderId="0" xfId="0" applyFont="1" applyAlignment="1">
      <alignment horizontal="center"/>
    </xf>
    <xf numFmtId="0" fontId="0" fillId="0" borderId="0" xfId="0"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0" xfId="0" applyAlignment="1">
      <alignment horizontal="center"/>
    </xf>
    <xf numFmtId="0" fontId="38" fillId="0" borderId="3" xfId="10" applyFill="1" applyBorder="1" applyAlignment="1">
      <alignment horizontal="center"/>
    </xf>
    <xf numFmtId="0" fontId="38" fillId="0" borderId="11" xfId="10" applyFill="1" applyBorder="1" applyAlignment="1">
      <alignment horizontal="center"/>
    </xf>
    <xf numFmtId="0" fontId="37" fillId="0" borderId="14" xfId="0" applyFont="1" applyFill="1" applyBorder="1" applyAlignment="1">
      <alignment horizontal="center"/>
    </xf>
    <xf numFmtId="0" fontId="37" fillId="0" borderId="15" xfId="0" applyFont="1" applyFill="1" applyBorder="1" applyAlignment="1">
      <alignment horizontal="center"/>
    </xf>
    <xf numFmtId="0" fontId="37" fillId="0" borderId="16" xfId="0" applyFont="1" applyFill="1" applyBorder="1" applyAlignment="1">
      <alignment horizontal="center"/>
    </xf>
    <xf numFmtId="165" fontId="37" fillId="0" borderId="4" xfId="0" applyNumberFormat="1" applyFont="1" applyFill="1" applyBorder="1" applyAlignment="1">
      <alignment horizontal="center"/>
    </xf>
    <xf numFmtId="165" fontId="37" fillId="0" borderId="9" xfId="0" applyNumberFormat="1" applyFont="1" applyFill="1" applyBorder="1" applyAlignment="1">
      <alignment horizontal="center"/>
    </xf>
    <xf numFmtId="165" fontId="37" fillId="0" borderId="0" xfId="0" applyNumberFormat="1" applyFont="1" applyFill="1" applyBorder="1" applyAlignment="1">
      <alignment horizontal="center"/>
    </xf>
    <xf numFmtId="0" fontId="37" fillId="0" borderId="8" xfId="0" applyFont="1" applyFill="1" applyBorder="1" applyAlignment="1">
      <alignment horizontal="center"/>
    </xf>
    <xf numFmtId="165" fontId="37" fillId="2" borderId="67" xfId="2" applyNumberFormat="1" applyFont="1" applyFill="1" applyBorder="1" applyAlignment="1">
      <alignment horizontal="center"/>
    </xf>
    <xf numFmtId="166" fontId="37" fillId="2" borderId="68" xfId="1" applyNumberFormat="1" applyFont="1" applyFill="1" applyBorder="1" applyAlignment="1">
      <alignment horizontal="center"/>
    </xf>
    <xf numFmtId="165" fontId="37" fillId="0" borderId="6" xfId="2" applyNumberFormat="1" applyFont="1" applyFill="1" applyBorder="1" applyAlignment="1">
      <alignment horizontal="center"/>
    </xf>
    <xf numFmtId="165" fontId="37" fillId="0" borderId="8" xfId="2" applyNumberFormat="1" applyFont="1" applyFill="1" applyBorder="1" applyAlignment="1">
      <alignment horizontal="center"/>
    </xf>
    <xf numFmtId="0" fontId="40" fillId="0" borderId="10" xfId="0" applyFont="1" applyFill="1" applyBorder="1"/>
    <xf numFmtId="0" fontId="40" fillId="0" borderId="3" xfId="0" applyFont="1" applyFill="1" applyBorder="1"/>
    <xf numFmtId="0" fontId="40" fillId="0" borderId="11" xfId="0" applyFont="1" applyFill="1" applyBorder="1"/>
    <xf numFmtId="165" fontId="35" fillId="0" borderId="0" xfId="0" applyNumberFormat="1" applyFont="1"/>
    <xf numFmtId="6" fontId="35" fillId="0" borderId="0" xfId="0" applyNumberFormat="1" applyFont="1"/>
    <xf numFmtId="0" fontId="1" fillId="2" borderId="11" xfId="0" applyFont="1" applyFill="1" applyBorder="1" applyAlignment="1">
      <alignment horizontal="center"/>
    </xf>
    <xf numFmtId="166" fontId="41" fillId="0" borderId="0" xfId="1" applyNumberFormat="1" applyFont="1"/>
    <xf numFmtId="171" fontId="0" fillId="0" borderId="0" xfId="0" applyNumberFormat="1" applyAlignment="1">
      <alignment horizontal="center"/>
    </xf>
    <xf numFmtId="10" fontId="0" fillId="0" borderId="0" xfId="0" applyNumberFormat="1" applyAlignment="1">
      <alignment horizontal="center"/>
    </xf>
    <xf numFmtId="9" fontId="0" fillId="0" borderId="0" xfId="0" applyNumberFormat="1" applyAlignment="1">
      <alignment horizontal="center"/>
    </xf>
    <xf numFmtId="166" fontId="41" fillId="0" borderId="0" xfId="0" applyNumberFormat="1" applyFont="1"/>
    <xf numFmtId="166" fontId="29" fillId="0" borderId="2" xfId="1" applyNumberFormat="1" applyFont="1" applyBorder="1"/>
    <xf numFmtId="166" fontId="29" fillId="0" borderId="2" xfId="0" applyNumberFormat="1" applyFont="1" applyBorder="1"/>
    <xf numFmtId="166" fontId="34" fillId="0" borderId="0" xfId="1" applyNumberFormat="1" applyFont="1" applyAlignment="1"/>
    <xf numFmtId="167" fontId="0" fillId="0" borderId="0" xfId="0" applyNumberFormat="1"/>
    <xf numFmtId="166" fontId="33" fillId="3" borderId="0" xfId="5" applyNumberFormat="1" applyFont="1" applyAlignment="1">
      <alignment horizontal="center"/>
    </xf>
    <xf numFmtId="165" fontId="23" fillId="0" borderId="8" xfId="2" applyNumberFormat="1" applyFont="1" applyBorder="1" applyAlignment="1">
      <alignment horizontal="center"/>
    </xf>
    <xf numFmtId="165" fontId="22" fillId="0" borderId="0" xfId="0" applyNumberFormat="1" applyFont="1"/>
    <xf numFmtId="165" fontId="23" fillId="2" borderId="66" xfId="2" applyNumberFormat="1" applyFont="1" applyFill="1" applyBorder="1" applyAlignment="1">
      <alignment horizontal="center"/>
    </xf>
    <xf numFmtId="165" fontId="23" fillId="0" borderId="9" xfId="2" applyNumberFormat="1" applyFont="1" applyBorder="1" applyAlignment="1">
      <alignment horizontal="center"/>
    </xf>
    <xf numFmtId="166" fontId="29" fillId="0" borderId="0" xfId="1" applyNumberFormat="1" applyFont="1"/>
    <xf numFmtId="166" fontId="29" fillId="0" borderId="0" xfId="0" applyNumberFormat="1" applyFont="1"/>
    <xf numFmtId="0" fontId="0" fillId="0" borderId="0" xfId="0" applyAlignment="1">
      <alignment horizontal="center" wrapText="1"/>
    </xf>
    <xf numFmtId="0" fontId="42" fillId="0" borderId="0" xfId="0" applyFont="1" applyAlignment="1">
      <alignment horizontal="center"/>
    </xf>
    <xf numFmtId="166" fontId="0" fillId="0" borderId="0" xfId="1" applyNumberFormat="1" applyFont="1" applyAlignment="1">
      <alignment horizontal="center" wrapText="1"/>
    </xf>
    <xf numFmtId="166" fontId="1" fillId="0" borderId="0" xfId="1" applyNumberFormat="1" applyFont="1"/>
    <xf numFmtId="166" fontId="13" fillId="0" borderId="0" xfId="1" applyNumberFormat="1" applyFont="1" applyBorder="1" applyAlignment="1">
      <alignment horizontal="center"/>
    </xf>
    <xf numFmtId="165" fontId="13" fillId="0" borderId="8" xfId="2" applyNumberFormat="1" applyFont="1" applyFill="1" applyBorder="1" applyAlignment="1">
      <alignment horizontal="center"/>
    </xf>
    <xf numFmtId="166" fontId="13" fillId="0" borderId="3" xfId="1" applyNumberFormat="1" applyFont="1" applyBorder="1" applyAlignment="1">
      <alignment horizontal="center"/>
    </xf>
    <xf numFmtId="165" fontId="13" fillId="0" borderId="11" xfId="2" applyNumberFormat="1" applyFont="1" applyFill="1" applyBorder="1" applyAlignment="1">
      <alignment horizontal="center"/>
    </xf>
    <xf numFmtId="166" fontId="1" fillId="2" borderId="74" xfId="1" applyNumberFormat="1" applyFont="1" applyFill="1" applyBorder="1" applyAlignment="1">
      <alignment horizontal="center" wrapText="1"/>
    </xf>
    <xf numFmtId="166" fontId="1" fillId="2" borderId="17" xfId="1" applyNumberFormat="1" applyFont="1" applyFill="1" applyBorder="1" applyAlignment="1">
      <alignment horizontal="center" wrapText="1"/>
    </xf>
    <xf numFmtId="166" fontId="1" fillId="2" borderId="18" xfId="1" applyNumberFormat="1" applyFont="1" applyFill="1" applyBorder="1" applyAlignment="1">
      <alignment horizontal="center" wrapText="1"/>
    </xf>
    <xf numFmtId="165" fontId="6" fillId="0" borderId="9" xfId="2" quotePrefix="1" applyNumberFormat="1" applyFont="1" applyBorder="1" applyAlignment="1">
      <alignment horizontal="center"/>
    </xf>
    <xf numFmtId="166" fontId="43" fillId="0" borderId="0" xfId="1" applyNumberFormat="1" applyFont="1" applyAlignment="1">
      <alignment horizontal="center"/>
    </xf>
    <xf numFmtId="0" fontId="0" fillId="2" borderId="0" xfId="0" applyFill="1"/>
    <xf numFmtId="0" fontId="0" fillId="0" borderId="0" xfId="0" applyFill="1"/>
    <xf numFmtId="166" fontId="29" fillId="0" borderId="25" xfId="1" applyNumberFormat="1" applyFont="1" applyBorder="1"/>
    <xf numFmtId="166" fontId="29" fillId="0" borderId="0" xfId="1" applyNumberFormat="1" applyFont="1" applyBorder="1"/>
    <xf numFmtId="166" fontId="29" fillId="0" borderId="24" xfId="1" applyNumberFormat="1" applyFont="1" applyBorder="1"/>
    <xf numFmtId="166" fontId="29" fillId="0" borderId="25" xfId="1" quotePrefix="1" applyNumberFormat="1" applyFont="1" applyBorder="1"/>
    <xf numFmtId="166" fontId="29" fillId="0" borderId="0" xfId="1" quotePrefix="1" applyNumberFormat="1" applyFont="1" applyBorder="1"/>
    <xf numFmtId="166" fontId="29" fillId="0" borderId="24" xfId="1" quotePrefix="1" applyNumberFormat="1" applyFont="1" applyBorder="1"/>
    <xf numFmtId="166" fontId="29" fillId="0" borderId="26" xfId="1" applyNumberFormat="1" applyFont="1" applyBorder="1"/>
    <xf numFmtId="166" fontId="29" fillId="0" borderId="27" xfId="1" applyNumberFormat="1" applyFont="1" applyBorder="1"/>
    <xf numFmtId="166" fontId="29" fillId="0" borderId="28" xfId="1" applyNumberFormat="1" applyFont="1" applyBorder="1"/>
    <xf numFmtId="166" fontId="29" fillId="0" borderId="26" xfId="1" quotePrefix="1" applyNumberFormat="1" applyFont="1" applyBorder="1"/>
    <xf numFmtId="166" fontId="29" fillId="0" borderId="27" xfId="1" quotePrefix="1" applyNumberFormat="1" applyFont="1" applyBorder="1"/>
    <xf numFmtId="166" fontId="29" fillId="0" borderId="28" xfId="1" quotePrefix="1" applyNumberFormat="1" applyFont="1" applyBorder="1"/>
    <xf numFmtId="166" fontId="1" fillId="0" borderId="2" xfId="1" applyNumberFormat="1" applyFont="1" applyBorder="1"/>
    <xf numFmtId="165" fontId="6" fillId="12" borderId="16" xfId="2" applyNumberFormat="1" applyFont="1" applyFill="1" applyBorder="1" applyAlignment="1">
      <alignment horizontal="center"/>
    </xf>
    <xf numFmtId="166" fontId="13" fillId="0" borderId="9" xfId="1" applyNumberFormat="1" applyFont="1" applyBorder="1" applyAlignment="1">
      <alignment horizontal="center"/>
    </xf>
    <xf numFmtId="166" fontId="13" fillId="0" borderId="10" xfId="1" applyNumberFormat="1" applyFont="1" applyBorder="1" applyAlignment="1">
      <alignment horizontal="center"/>
    </xf>
    <xf numFmtId="0" fontId="0" fillId="0" borderId="25" xfId="0" applyBorder="1"/>
    <xf numFmtId="9" fontId="0" fillId="0" borderId="0" xfId="4" applyFont="1" applyBorder="1"/>
    <xf numFmtId="9" fontId="0" fillId="0" borderId="24" xfId="4" applyFont="1" applyBorder="1"/>
    <xf numFmtId="0" fontId="0" fillId="0" borderId="26" xfId="0" applyBorder="1"/>
    <xf numFmtId="0" fontId="0" fillId="0" borderId="27" xfId="0" applyBorder="1"/>
    <xf numFmtId="166" fontId="0" fillId="0" borderId="27" xfId="1" applyNumberFormat="1" applyFont="1" applyBorder="1"/>
    <xf numFmtId="9" fontId="0" fillId="0" borderId="27" xfId="4" applyFont="1" applyBorder="1"/>
    <xf numFmtId="9" fontId="0" fillId="0" borderId="28" xfId="4" applyFont="1" applyBorder="1"/>
    <xf numFmtId="166" fontId="1" fillId="0" borderId="75" xfId="1" applyNumberFormat="1" applyFont="1" applyBorder="1"/>
    <xf numFmtId="166" fontId="1" fillId="0" borderId="77" xfId="1" applyNumberFormat="1" applyFont="1" applyBorder="1"/>
    <xf numFmtId="166" fontId="1" fillId="0" borderId="52" xfId="1" applyNumberFormat="1" applyFont="1" applyBorder="1"/>
    <xf numFmtId="6" fontId="1" fillId="0" borderId="80" xfId="0" applyNumberFormat="1" applyFont="1" applyBorder="1"/>
    <xf numFmtId="166" fontId="1" fillId="0" borderId="76" xfId="1" applyNumberFormat="1" applyFont="1" applyBorder="1"/>
    <xf numFmtId="166" fontId="1" fillId="0" borderId="78" xfId="1" applyNumberFormat="1" applyFont="1" applyBorder="1"/>
    <xf numFmtId="166" fontId="1" fillId="0" borderId="79" xfId="1" applyNumberFormat="1" applyFont="1" applyBorder="1"/>
    <xf numFmtId="166" fontId="1" fillId="0" borderId="80" xfId="1" applyNumberFormat="1" applyFont="1" applyBorder="1"/>
    <xf numFmtId="6" fontId="1" fillId="0" borderId="81" xfId="0" applyNumberFormat="1" applyFont="1" applyBorder="1"/>
    <xf numFmtId="166" fontId="1" fillId="0" borderId="76" xfId="1" applyNumberFormat="1" applyFont="1" applyFill="1" applyBorder="1"/>
    <xf numFmtId="166" fontId="1" fillId="0" borderId="75" xfId="1" applyNumberFormat="1" applyFont="1" applyFill="1" applyBorder="1"/>
    <xf numFmtId="166" fontId="1" fillId="0" borderId="51" xfId="1" applyNumberFormat="1" applyFont="1" applyFill="1" applyBorder="1"/>
    <xf numFmtId="166" fontId="1" fillId="0" borderId="2" xfId="1" applyNumberFormat="1" applyFont="1" applyFill="1" applyBorder="1"/>
    <xf numFmtId="6" fontId="1" fillId="0" borderId="78" xfId="0" applyNumberFormat="1" applyFont="1" applyFill="1" applyBorder="1"/>
    <xf numFmtId="0" fontId="1" fillId="2" borderId="26" xfId="0" applyFont="1" applyFill="1" applyBorder="1" applyAlignment="1">
      <alignment horizontal="center" wrapText="1"/>
    </xf>
    <xf numFmtId="0" fontId="1" fillId="2" borderId="27" xfId="0" applyFont="1" applyFill="1" applyBorder="1" applyAlignment="1">
      <alignment horizontal="center" wrapText="1"/>
    </xf>
    <xf numFmtId="0" fontId="4" fillId="2" borderId="28" xfId="0" applyFont="1" applyFill="1" applyBorder="1" applyAlignment="1">
      <alignment horizontal="center" wrapText="1"/>
    </xf>
    <xf numFmtId="6" fontId="1" fillId="0" borderId="82" xfId="0" applyNumberFormat="1" applyFont="1" applyFill="1" applyBorder="1"/>
    <xf numFmtId="166" fontId="1" fillId="0" borderId="13" xfId="1" applyNumberFormat="1" applyFont="1" applyFill="1" applyBorder="1"/>
    <xf numFmtId="6" fontId="1" fillId="12" borderId="81" xfId="0" applyNumberFormat="1" applyFont="1" applyFill="1" applyBorder="1"/>
    <xf numFmtId="166" fontId="1" fillId="12" borderId="79" xfId="1" applyNumberFormat="1" applyFont="1" applyFill="1" applyBorder="1"/>
    <xf numFmtId="43" fontId="16" fillId="0" borderId="0" xfId="1" applyFont="1"/>
    <xf numFmtId="165" fontId="6" fillId="2" borderId="83" xfId="2" applyNumberFormat="1" applyFont="1" applyFill="1" applyBorder="1" applyAlignment="1">
      <alignment horizontal="center"/>
    </xf>
    <xf numFmtId="0" fontId="0" fillId="0" borderId="2" xfId="0" applyBorder="1" applyAlignment="1">
      <alignment horizontal="center"/>
    </xf>
    <xf numFmtId="0" fontId="1" fillId="0" borderId="0" xfId="0" applyFont="1" applyAlignment="1">
      <alignment horizontal="center"/>
    </xf>
    <xf numFmtId="0" fontId="0" fillId="0" borderId="0" xfId="0" applyAlignment="1">
      <alignment horizontal="left" wrapText="1"/>
    </xf>
    <xf numFmtId="0" fontId="0" fillId="0" borderId="0" xfId="0" applyAlignment="1">
      <alignment horizontal="center"/>
    </xf>
    <xf numFmtId="0" fontId="11" fillId="0" borderId="19" xfId="0" applyFont="1" applyBorder="1" applyAlignment="1">
      <alignment horizontal="center"/>
    </xf>
    <xf numFmtId="0" fontId="11" fillId="0" borderId="15" xfId="0" applyFont="1" applyBorder="1" applyAlignment="1">
      <alignment horizontal="center"/>
    </xf>
    <xf numFmtId="0" fontId="11" fillId="0" borderId="20" xfId="0" applyFont="1" applyBorder="1" applyAlignment="1">
      <alignment horizontal="center"/>
    </xf>
    <xf numFmtId="0" fontId="10" fillId="3" borderId="23" xfId="5" applyFont="1" applyBorder="1" applyAlignment="1">
      <alignment horizontal="center"/>
    </xf>
    <xf numFmtId="0" fontId="10" fillId="3" borderId="3" xfId="5" applyFont="1" applyBorder="1" applyAlignment="1">
      <alignment horizontal="center"/>
    </xf>
    <xf numFmtId="0" fontId="10" fillId="3" borderId="61" xfId="5" applyFont="1" applyBorder="1" applyAlignment="1">
      <alignment horizontal="center"/>
    </xf>
    <xf numFmtId="0" fontId="24" fillId="0" borderId="0" xfId="0" applyFont="1" applyAlignment="1">
      <alignment horizontal="center"/>
    </xf>
    <xf numFmtId="0" fontId="15" fillId="3" borderId="14" xfId="5" applyFont="1" applyBorder="1" applyAlignment="1">
      <alignment horizontal="center"/>
    </xf>
    <xf numFmtId="0" fontId="15" fillId="3" borderId="15" xfId="5" applyFont="1" applyBorder="1" applyAlignment="1">
      <alignment horizontal="center"/>
    </xf>
    <xf numFmtId="0" fontId="15" fillId="3" borderId="16" xfId="5" applyFont="1"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15" xfId="0" applyBorder="1" applyAlignment="1">
      <alignment horizontal="center"/>
    </xf>
    <xf numFmtId="0" fontId="28" fillId="3" borderId="14" xfId="5" applyFont="1" applyBorder="1" applyAlignment="1">
      <alignment horizontal="center"/>
    </xf>
    <xf numFmtId="0" fontId="28" fillId="3" borderId="15" xfId="5" applyFont="1" applyBorder="1" applyAlignment="1">
      <alignment horizontal="center"/>
    </xf>
    <xf numFmtId="0" fontId="28" fillId="3" borderId="16" xfId="5" applyFont="1" applyBorder="1" applyAlignment="1">
      <alignment horizontal="center"/>
    </xf>
    <xf numFmtId="0" fontId="4" fillId="0" borderId="10" xfId="0" applyFont="1" applyFill="1" applyBorder="1" applyAlignment="1">
      <alignment horizontal="center"/>
    </xf>
    <xf numFmtId="0" fontId="4" fillId="0" borderId="3" xfId="0" applyFont="1" applyFill="1" applyBorder="1" applyAlignment="1">
      <alignment horizontal="center"/>
    </xf>
    <xf numFmtId="0" fontId="4" fillId="0" borderId="11" xfId="0" applyFont="1" applyFill="1" applyBorder="1" applyAlignment="1">
      <alignment horizontal="center"/>
    </xf>
    <xf numFmtId="0" fontId="4" fillId="0" borderId="10"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xf>
    <xf numFmtId="0" fontId="4" fillId="0" borderId="9" xfId="0" applyFont="1" applyBorder="1" applyAlignment="1">
      <alignment horizontal="center"/>
    </xf>
    <xf numFmtId="0" fontId="4" fillId="0" borderId="0" xfId="0" applyFont="1" applyBorder="1" applyAlignment="1">
      <alignment horizontal="center"/>
    </xf>
    <xf numFmtId="0" fontId="4" fillId="0" borderId="14" xfId="0" applyFont="1" applyFill="1" applyBorder="1" applyAlignment="1">
      <alignment horizontal="center"/>
    </xf>
    <xf numFmtId="0" fontId="4" fillId="0" borderId="15" xfId="0" applyFont="1" applyFill="1" applyBorder="1" applyAlignment="1">
      <alignment horizontal="center"/>
    </xf>
    <xf numFmtId="0" fontId="4" fillId="0" borderId="16" xfId="0" applyFont="1" applyFill="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7" borderId="14" xfId="0" applyFill="1" applyBorder="1" applyAlignment="1">
      <alignment horizontal="center"/>
    </xf>
    <xf numFmtId="0" fontId="0" fillId="7" borderId="15" xfId="0" applyFill="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166" fontId="33" fillId="3" borderId="0" xfId="5" applyNumberFormat="1" applyFont="1" applyAlignment="1">
      <alignment horizontal="center"/>
    </xf>
    <xf numFmtId="0" fontId="33" fillId="9" borderId="0" xfId="8" applyFont="1" applyAlignment="1">
      <alignment horizontal="center"/>
    </xf>
    <xf numFmtId="166" fontId="34" fillId="0" borderId="0" xfId="1" applyNumberFormat="1" applyFont="1" applyAlignment="1">
      <alignment horizontal="center"/>
    </xf>
    <xf numFmtId="166" fontId="33" fillId="3" borderId="0" xfId="5" applyNumberFormat="1" applyFont="1" applyAlignment="1">
      <alignment horizontal="center" wrapText="1"/>
    </xf>
    <xf numFmtId="0" fontId="33" fillId="9" borderId="0" xfId="8" applyFont="1" applyAlignment="1">
      <alignment horizontal="center" wrapText="1"/>
    </xf>
    <xf numFmtId="0" fontId="0" fillId="12" borderId="47" xfId="0" applyFill="1" applyBorder="1" applyAlignment="1">
      <alignment horizontal="center"/>
    </xf>
    <xf numFmtId="0" fontId="0" fillId="12" borderId="49" xfId="0" applyFill="1" applyBorder="1" applyAlignment="1">
      <alignment horizontal="center"/>
    </xf>
    <xf numFmtId="0" fontId="0" fillId="12" borderId="48" xfId="0" applyFill="1" applyBorder="1" applyAlignment="1">
      <alignment horizontal="center"/>
    </xf>
    <xf numFmtId="166" fontId="0" fillId="12" borderId="47" xfId="1" applyNumberFormat="1" applyFont="1" applyFill="1" applyBorder="1" applyAlignment="1">
      <alignment horizontal="center"/>
    </xf>
    <xf numFmtId="166" fontId="0" fillId="12" borderId="49" xfId="1" applyNumberFormat="1" applyFont="1" applyFill="1" applyBorder="1" applyAlignment="1">
      <alignment horizontal="center"/>
    </xf>
    <xf numFmtId="166" fontId="0" fillId="12" borderId="48" xfId="1" applyNumberFormat="1" applyFont="1" applyFill="1" applyBorder="1" applyAlignment="1">
      <alignment horizontal="center"/>
    </xf>
    <xf numFmtId="0" fontId="8" fillId="3" borderId="4" xfId="5" applyBorder="1" applyAlignment="1">
      <alignment horizontal="center"/>
    </xf>
    <xf numFmtId="0" fontId="8" fillId="3" borderId="5" xfId="5" applyBorder="1" applyAlignment="1">
      <alignment horizontal="center"/>
    </xf>
    <xf numFmtId="0" fontId="8" fillId="3" borderId="6" xfId="5"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5" borderId="14" xfId="0" applyFont="1" applyFill="1" applyBorder="1" applyAlignment="1">
      <alignment horizontal="center"/>
    </xf>
    <xf numFmtId="0" fontId="4" fillId="5" borderId="15" xfId="0" applyFont="1" applyFill="1" applyBorder="1" applyAlignment="1">
      <alignment horizontal="center"/>
    </xf>
    <xf numFmtId="0" fontId="4" fillId="5" borderId="16" xfId="0" applyFont="1" applyFill="1" applyBorder="1" applyAlignment="1">
      <alignment horizontal="center"/>
    </xf>
    <xf numFmtId="0" fontId="36" fillId="0" borderId="14" xfId="0" applyFont="1" applyFill="1" applyBorder="1" applyAlignment="1">
      <alignment horizontal="center"/>
    </xf>
    <xf numFmtId="0" fontId="36" fillId="0" borderId="15" xfId="0" applyFont="1" applyFill="1" applyBorder="1" applyAlignment="1">
      <alignment horizontal="center"/>
    </xf>
    <xf numFmtId="0" fontId="36" fillId="0" borderId="16" xfId="0" applyFont="1" applyFill="1" applyBorder="1" applyAlignment="1">
      <alignment horizontal="center"/>
    </xf>
    <xf numFmtId="0" fontId="1" fillId="2" borderId="3" xfId="0" applyFont="1" applyFill="1" applyBorder="1" applyAlignment="1">
      <alignment horizontal="center"/>
    </xf>
    <xf numFmtId="0" fontId="1" fillId="2" borderId="11" xfId="0" applyFont="1" applyFill="1" applyBorder="1" applyAlignment="1">
      <alignment horizontal="center"/>
    </xf>
    <xf numFmtId="0" fontId="19" fillId="0" borderId="14" xfId="0" applyFont="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0" fillId="3" borderId="14" xfId="5" applyFont="1" applyBorder="1" applyAlignment="1">
      <alignment horizontal="center"/>
    </xf>
    <xf numFmtId="0" fontId="10" fillId="3" borderId="15" xfId="5" applyFont="1" applyBorder="1" applyAlignment="1">
      <alignment horizontal="center"/>
    </xf>
    <xf numFmtId="0" fontId="10" fillId="3" borderId="16" xfId="5" applyFont="1" applyBorder="1" applyAlignment="1">
      <alignment horizontal="center"/>
    </xf>
    <xf numFmtId="0" fontId="4" fillId="0" borderId="6" xfId="0" applyFont="1" applyBorder="1" applyAlignment="1">
      <alignment horizontal="center"/>
    </xf>
    <xf numFmtId="0" fontId="4" fillId="5" borderId="47" xfId="0" applyFont="1" applyFill="1" applyBorder="1" applyAlignment="1">
      <alignment horizontal="center"/>
    </xf>
    <xf numFmtId="0" fontId="4" fillId="5" borderId="49" xfId="0" applyFont="1" applyFill="1" applyBorder="1" applyAlignment="1">
      <alignment horizontal="center"/>
    </xf>
    <xf numFmtId="0" fontId="4" fillId="5" borderId="48" xfId="0" applyFont="1" applyFill="1" applyBorder="1" applyAlignment="1">
      <alignment horizontal="center"/>
    </xf>
    <xf numFmtId="0" fontId="15" fillId="3" borderId="17" xfId="5" applyFont="1" applyBorder="1" applyAlignment="1">
      <alignment horizontal="center"/>
    </xf>
    <xf numFmtId="0" fontId="15" fillId="3" borderId="18" xfId="5"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4" fillId="0" borderId="20" xfId="0" applyFont="1" applyFill="1" applyBorder="1" applyAlignment="1">
      <alignment horizontal="center"/>
    </xf>
    <xf numFmtId="0" fontId="15" fillId="3" borderId="36" xfId="5" applyFont="1" applyBorder="1" applyAlignment="1">
      <alignment horizontal="center"/>
    </xf>
    <xf numFmtId="0" fontId="15" fillId="3" borderId="37" xfId="5" applyFont="1" applyBorder="1" applyAlignment="1">
      <alignment horizontal="center"/>
    </xf>
    <xf numFmtId="0" fontId="15" fillId="3" borderId="38" xfId="5" applyFont="1" applyBorder="1" applyAlignment="1">
      <alignment horizontal="center"/>
    </xf>
    <xf numFmtId="0" fontId="39" fillId="5" borderId="14" xfId="0" applyFont="1" applyFill="1" applyBorder="1" applyAlignment="1">
      <alignment horizontal="center"/>
    </xf>
    <xf numFmtId="0" fontId="39" fillId="5" borderId="15" xfId="0" applyFont="1" applyFill="1" applyBorder="1" applyAlignment="1">
      <alignment horizontal="center"/>
    </xf>
    <xf numFmtId="0" fontId="39" fillId="5" borderId="16" xfId="0" applyFont="1" applyFill="1" applyBorder="1" applyAlignment="1">
      <alignment horizontal="center"/>
    </xf>
    <xf numFmtId="0" fontId="1" fillId="2" borderId="10" xfId="0" applyFont="1" applyFill="1" applyBorder="1" applyAlignment="1">
      <alignment horizontal="center"/>
    </xf>
    <xf numFmtId="0" fontId="14" fillId="3" borderId="2" xfId="5" applyFont="1" applyBorder="1" applyAlignment="1">
      <alignment horizontal="center"/>
    </xf>
  </cellXfs>
  <cellStyles count="11">
    <cellStyle name="Accent1" xfId="5" builtinId="29"/>
    <cellStyle name="Accent2" xfId="8" builtinId="33"/>
    <cellStyle name="Accent3" xfId="9" builtinId="37"/>
    <cellStyle name="Accent5" xfId="6" builtinId="45"/>
    <cellStyle name="Bad" xfId="10" builtinId="27"/>
    <cellStyle name="Comma" xfId="1" builtinId="3"/>
    <cellStyle name="Currency" xfId="2" builtinId="4"/>
    <cellStyle name="Hyperlink" xfId="3" builtinId="8"/>
    <cellStyle name="Normal" xfId="0" builtinId="0"/>
    <cellStyle name="Note" xfId="7" builtinId="10"/>
    <cellStyle name="Percent" xfId="4" builtinId="5"/>
  </cellStyles>
  <dxfs count="608">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
      <fill>
        <patternFill>
          <bgColor rgb="FF94E494"/>
        </patternFill>
      </fill>
    </dxf>
    <dxf>
      <fill>
        <patternFill>
          <bgColor rgb="FFFFFF66"/>
        </patternFill>
      </fill>
    </dxf>
    <dxf>
      <fill>
        <patternFill>
          <bgColor rgb="FFFF6969"/>
        </patternFill>
      </fill>
    </dxf>
  </dxfs>
  <tableStyles count="0" defaultTableStyle="TableStyleMedium2" defaultPivotStyle="PivotStyleLight16"/>
  <colors>
    <mruColors>
      <color rgb="FF868686"/>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Unfunded</a:t>
            </a:r>
            <a:r>
              <a:rPr lang="en-US" baseline="0"/>
              <a:t> Liability - Funding Options</a:t>
            </a:r>
          </a:p>
          <a:p>
            <a:pPr>
              <a:defRPr/>
            </a:pPr>
            <a:r>
              <a:rPr lang="en-US" baseline="0"/>
              <a:t>(Millions)</a:t>
            </a:r>
            <a:endParaRPr lang="en-US"/>
          </a:p>
        </c:rich>
      </c:tx>
      <c:overlay val="0"/>
    </c:title>
    <c:autoTitleDeleted val="0"/>
    <c:plotArea>
      <c:layout>
        <c:manualLayout>
          <c:layoutTarget val="inner"/>
          <c:xMode val="edge"/>
          <c:yMode val="edge"/>
          <c:x val="6.6731662892684049E-2"/>
          <c:y val="0.18190272829383078"/>
          <c:w val="0.91195051090299228"/>
          <c:h val="0.63367351753324974"/>
        </c:manualLayout>
      </c:layout>
      <c:lineChart>
        <c:grouping val="standard"/>
        <c:varyColors val="0"/>
        <c:ser>
          <c:idx val="0"/>
          <c:order val="0"/>
          <c:tx>
            <c:strRef>
              <c:f>ChartData!$D$9</c:f>
              <c:strCache>
                <c:ptCount val="1"/>
                <c:pt idx="0">
                  <c:v>2015</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ChartData!$D$10:$D$40</c:f>
              <c:numCache>
                <c:formatCode>_(* #,##0.0_);_(* \(#,##0.0\);_(* "-"??_);_(@_)</c:formatCode>
                <c:ptCount val="30"/>
                <c:pt idx="0">
                  <c:v>24.957121277739951</c:v>
                </c:pt>
                <c:pt idx="1">
                  <c:v>25.120283242114883</c:v>
                </c:pt>
                <c:pt idx="2">
                  <c:v>25.270773515202333</c:v>
                </c:pt>
                <c:pt idx="3">
                  <c:v>25.407684949757126</c:v>
                </c:pt>
                <c:pt idx="4">
                  <c:v>26.627752340686293</c:v>
                </c:pt>
                <c:pt idx="5">
                  <c:v>27.426584910906865</c:v>
                </c:pt>
                <c:pt idx="6">
                  <c:v>28.24938245823407</c:v>
                </c:pt>
                <c:pt idx="7">
                  <c:v>29.096863931981098</c:v>
                </c:pt>
                <c:pt idx="8">
                  <c:v>29.969769849940526</c:v>
                </c:pt>
                <c:pt idx="9">
                  <c:v>30.86886294543875</c:v>
                </c:pt>
                <c:pt idx="10">
                  <c:v>31.794928833801908</c:v>
                </c:pt>
                <c:pt idx="11">
                  <c:v>32.748776698815966</c:v>
                </c:pt>
                <c:pt idx="12">
                  <c:v>33.731239999780463</c:v>
                </c:pt>
                <c:pt idx="13">
                  <c:v>34.743177199773875</c:v>
                </c:pt>
                <c:pt idx="14">
                  <c:v>35.785472515767097</c:v>
                </c:pt>
                <c:pt idx="15">
                  <c:v>36.859036691240114</c:v>
                </c:pt>
                <c:pt idx="16">
                  <c:v>37.964807791977329</c:v>
                </c:pt>
                <c:pt idx="17">
                  <c:v>-4.698192708121578</c:v>
                </c:pt>
                <c:pt idx="18">
                  <c:v>-4.8391384893652258</c:v>
                </c:pt>
                <c:pt idx="19">
                  <c:v>-4.9843126440461818</c:v>
                </c:pt>
                <c:pt idx="20">
                  <c:v>-5.1338420233675652</c:v>
                </c:pt>
                <c:pt idx="21">
                  <c:v>-5.287857284068596</c:v>
                </c:pt>
                <c:pt idx="22">
                  <c:v>-5.4464930025906524</c:v>
                </c:pt>
                <c:pt idx="23">
                  <c:v>-5.6098877926683706</c:v>
                </c:pt>
                <c:pt idx="24">
                  <c:v>-5.7781844264484219</c:v>
                </c:pt>
                <c:pt idx="25">
                  <c:v>-3.9095125746803694</c:v>
                </c:pt>
                <c:pt idx="26">
                  <c:v>-2.8007827803169509</c:v>
                </c:pt>
                <c:pt idx="27">
                  <c:v>-1.6220106369745204</c:v>
                </c:pt>
                <c:pt idx="28">
                  <c:v>-0.36999146052925519</c:v>
                </c:pt>
                <c:pt idx="29">
                  <c:v>0.95860867607600098</c:v>
                </c:pt>
              </c:numCache>
            </c:numRef>
          </c:val>
          <c:smooth val="0"/>
          <c:extLst>
            <c:ext xmlns:c16="http://schemas.microsoft.com/office/drawing/2014/chart" uri="{C3380CC4-5D6E-409C-BE32-E72D297353CC}">
              <c16:uniqueId val="{00000000-ACF1-482F-8BCF-B4AB3A1B7511}"/>
            </c:ext>
          </c:extLst>
        </c:ser>
        <c:ser>
          <c:idx val="1"/>
          <c:order val="1"/>
          <c:tx>
            <c:strRef>
              <c:f>ChartData!$E$9</c:f>
              <c:strCache>
                <c:ptCount val="1"/>
                <c:pt idx="0">
                  <c:v>+2016</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ChartData!$E$10:$E$29</c:f>
              <c:numCache>
                <c:formatCode>_(* #,##0.0_);_(* \(#,##0.0\);_(* "-"??_);_(@_)</c:formatCode>
                <c:ptCount val="20"/>
                <c:pt idx="0">
                  <c:v>25.045775982986491</c:v>
                </c:pt>
                <c:pt idx="1">
                  <c:v>26.802189242117766</c:v>
                </c:pt>
                <c:pt idx="2">
                  <c:v>28.628586436755985</c:v>
                </c:pt>
                <c:pt idx="3">
                  <c:v>30.491471021183539</c:v>
                </c:pt>
                <c:pt idx="4">
                  <c:v>33.518716707046636</c:v>
                </c:pt>
                <c:pt idx="5">
                  <c:v>36.254845861836991</c:v>
                </c:pt>
                <c:pt idx="6">
                  <c:v>37.280769161154375</c:v>
                </c:pt>
                <c:pt idx="7">
                  <c:v>38.334754006433606</c:v>
                </c:pt>
                <c:pt idx="8">
                  <c:v>39.417537193284694</c:v>
                </c:pt>
                <c:pt idx="9">
                  <c:v>40.529874264998568</c:v>
                </c:pt>
                <c:pt idx="10">
                  <c:v>41.672539996545709</c:v>
                </c:pt>
                <c:pt idx="11">
                  <c:v>42.846328892067149</c:v>
                </c:pt>
                <c:pt idx="12">
                  <c:v>44.052055696245731</c:v>
                </c:pt>
                <c:pt idx="13">
                  <c:v>45.290555919955047</c:v>
                </c:pt>
                <c:pt idx="14">
                  <c:v>46.562686380593007</c:v>
                </c:pt>
                <c:pt idx="15">
                  <c:v>47.869325757515689</c:v>
                </c:pt>
                <c:pt idx="16">
                  <c:v>49.211375162997619</c:v>
                </c:pt>
                <c:pt idx="17">
                  <c:v>6.7497099134872789</c:v>
                </c:pt>
                <c:pt idx="18">
                  <c:v>5.3246498295193909</c:v>
                </c:pt>
                <c:pt idx="19">
                  <c:v>3.80801140159129</c:v>
                </c:pt>
              </c:numCache>
            </c:numRef>
          </c:val>
          <c:smooth val="0"/>
          <c:extLst>
            <c:ext xmlns:c16="http://schemas.microsoft.com/office/drawing/2014/chart" uri="{C3380CC4-5D6E-409C-BE32-E72D297353CC}">
              <c16:uniqueId val="{00000001-ACF1-482F-8BCF-B4AB3A1B7511}"/>
            </c:ext>
          </c:extLst>
        </c:ser>
        <c:ser>
          <c:idx val="2"/>
          <c:order val="2"/>
          <c:tx>
            <c:strRef>
              <c:f>ChartData!$F$9</c:f>
              <c:strCache>
                <c:ptCount val="1"/>
                <c:pt idx="0">
                  <c:v>Alt 1</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ChartData!$F$10:$F$25</c:f>
              <c:numCache>
                <c:formatCode>_(* #,##0.0_);_(* \(#,##0.0\);_(* "-"??_);_(@_)</c:formatCode>
                <c:ptCount val="16"/>
                <c:pt idx="0">
                  <c:v>30.470113894000754</c:v>
                </c:pt>
                <c:pt idx="1">
                  <c:v>31.384217310820784</c:v>
                </c:pt>
                <c:pt idx="2">
                  <c:v>32.325743830145399</c:v>
                </c:pt>
                <c:pt idx="3">
                  <c:v>33.295516145049767</c:v>
                </c:pt>
                <c:pt idx="4">
                  <c:v>34.294381629401265</c:v>
                </c:pt>
                <c:pt idx="5">
                  <c:v>35.323213078283295</c:v>
                </c:pt>
                <c:pt idx="6">
                  <c:v>36.382909470631795</c:v>
                </c:pt>
                <c:pt idx="7">
                  <c:v>37.474396754750764</c:v>
                </c:pt>
                <c:pt idx="8">
                  <c:v>38.59862865739327</c:v>
                </c:pt>
                <c:pt idx="9">
                  <c:v>39.756587517115072</c:v>
                </c:pt>
                <c:pt idx="10">
                  <c:v>40.949285142628518</c:v>
                </c:pt>
                <c:pt idx="11">
                  <c:v>42.177763696907377</c:v>
                </c:pt>
                <c:pt idx="12">
                  <c:v>43.44309660781461</c:v>
                </c:pt>
                <c:pt idx="13">
                  <c:v>44.746389506049049</c:v>
                </c:pt>
                <c:pt idx="14">
                  <c:v>46.088781191230524</c:v>
                </c:pt>
                <c:pt idx="15">
                  <c:v>47.471444626967447</c:v>
                </c:pt>
              </c:numCache>
            </c:numRef>
          </c:val>
          <c:smooth val="0"/>
          <c:extLst>
            <c:ext xmlns:c16="http://schemas.microsoft.com/office/drawing/2014/chart" uri="{C3380CC4-5D6E-409C-BE32-E72D297353CC}">
              <c16:uniqueId val="{00000002-ACF1-482F-8BCF-B4AB3A1B7511}"/>
            </c:ext>
          </c:extLst>
        </c:ser>
        <c:ser>
          <c:idx val="3"/>
          <c:order val="3"/>
          <c:tx>
            <c:strRef>
              <c:f>ChartData!$G$9</c:f>
              <c:strCache>
                <c:ptCount val="1"/>
                <c:pt idx="0">
                  <c:v>Level</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ChartData!$G$10:$G$20</c:f>
              <c:numCache>
                <c:formatCode>_(* #,##0.0_);_(* \(#,##0.0\);_(*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3-ACF1-482F-8BCF-B4AB3A1B7511}"/>
            </c:ext>
          </c:extLst>
        </c:ser>
        <c:dLbls>
          <c:showLegendKey val="0"/>
          <c:showVal val="0"/>
          <c:showCatName val="0"/>
          <c:showSerName val="0"/>
          <c:showPercent val="0"/>
          <c:showBubbleSize val="0"/>
        </c:dLbls>
        <c:smooth val="0"/>
        <c:axId val="201622272"/>
        <c:axId val="201623808"/>
      </c:lineChart>
      <c:catAx>
        <c:axId val="201622272"/>
        <c:scaling>
          <c:orientation val="minMax"/>
        </c:scaling>
        <c:delete val="0"/>
        <c:axPos val="b"/>
        <c:numFmt formatCode="General" sourceLinked="1"/>
        <c:majorTickMark val="out"/>
        <c:minorTickMark val="none"/>
        <c:tickLblPos val="nextTo"/>
        <c:txPr>
          <a:bodyPr rot="5400000" vert="horz"/>
          <a:lstStyle/>
          <a:p>
            <a:pPr>
              <a:defRPr sz="1200"/>
            </a:pPr>
            <a:endParaRPr lang="en-US"/>
          </a:p>
        </c:txPr>
        <c:crossAx val="201623808"/>
        <c:crosses val="autoZero"/>
        <c:auto val="1"/>
        <c:lblAlgn val="ctr"/>
        <c:lblOffset val="100"/>
        <c:tickLblSkip val="2"/>
        <c:tickMarkSkip val="1"/>
        <c:noMultiLvlLbl val="0"/>
      </c:catAx>
      <c:valAx>
        <c:axId val="201623808"/>
        <c:scaling>
          <c:orientation val="minMax"/>
        </c:scaling>
        <c:delete val="0"/>
        <c:axPos val="l"/>
        <c:majorGridlines/>
        <c:numFmt formatCode="&quot;$&quot;#,##0" sourceLinked="0"/>
        <c:majorTickMark val="none"/>
        <c:minorTickMark val="none"/>
        <c:tickLblPos val="low"/>
        <c:spPr>
          <a:ln w="9525">
            <a:noFill/>
          </a:ln>
        </c:spPr>
        <c:crossAx val="201622272"/>
        <c:crossesAt val="2"/>
        <c:crossBetween val="midCat"/>
      </c:valAx>
    </c:plotArea>
    <c:legend>
      <c:legendPos val="b"/>
      <c:overlay val="0"/>
      <c:txPr>
        <a:bodyPr/>
        <a:lstStyle/>
        <a:p>
          <a:pPr>
            <a:defRPr sz="1200"/>
          </a:pPr>
          <a:endParaRPr lang="en-US"/>
        </a:p>
      </c:txPr>
    </c:legend>
    <c:plotVisOnly val="1"/>
    <c:dispBlanksAs val="gap"/>
    <c:showDLblsOverMax val="0"/>
  </c:chart>
  <c:spPr>
    <a:noFill/>
    <a:ln>
      <a:noFill/>
    </a:ln>
  </c:spPr>
  <c:printSettings>
    <c:headerFooter/>
    <c:pageMargins b="0.75" l="0.7" r="0.7" t="0.75" header="0.3" footer="0.3"/>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Level %</a:t>
            </a:r>
            <a:r>
              <a:rPr lang="en-US" baseline="0"/>
              <a:t> of Pay Amortization</a:t>
            </a:r>
            <a:endParaRPr lang="en-US"/>
          </a:p>
        </c:rich>
      </c:tx>
      <c:layout/>
      <c:overlay val="0"/>
    </c:title>
    <c:autoTitleDeleted val="0"/>
    <c:plotArea>
      <c:layout/>
      <c:lineChart>
        <c:grouping val="standard"/>
        <c:varyColors val="0"/>
        <c:ser>
          <c:idx val="0"/>
          <c:order val="0"/>
          <c:marker>
            <c:symbol val="none"/>
          </c:marker>
          <c:cat>
            <c:numRef>
              <c:f>'[1]Amort Schedule Efficiency'!$C$15:$C$44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'[1]Amort Schedule Efficiency'!$K$15:$K$43</c:f>
              <c:numCache>
                <c:formatCode>General</c:formatCode>
                <c:ptCount val="29"/>
                <c:pt idx="0">
                  <c:v>60050.527703359236</c:v>
                </c:pt>
                <c:pt idx="1">
                  <c:v>61852.043534460019</c:v>
                </c:pt>
                <c:pt idx="2">
                  <c:v>63707.604840493805</c:v>
                </c:pt>
                <c:pt idx="3">
                  <c:v>65618.832985708621</c:v>
                </c:pt>
                <c:pt idx="4">
                  <c:v>67587.397975279891</c:v>
                </c:pt>
                <c:pt idx="5">
                  <c:v>69615.019914538265</c:v>
                </c:pt>
                <c:pt idx="6">
                  <c:v>71703.470511974403</c:v>
                </c:pt>
                <c:pt idx="7">
                  <c:v>73854.574627333655</c:v>
                </c:pt>
                <c:pt idx="8">
                  <c:v>76070.211866153651</c:v>
                </c:pt>
                <c:pt idx="9">
                  <c:v>78352.318222138245</c:v>
                </c:pt>
                <c:pt idx="10">
                  <c:v>80702.887768802422</c:v>
                </c:pt>
                <c:pt idx="11">
                  <c:v>83123.97440186645</c:v>
                </c:pt>
                <c:pt idx="12">
                  <c:v>85617.693633922434</c:v>
                </c:pt>
                <c:pt idx="13">
                  <c:v>88186.224442940089</c:v>
                </c:pt>
                <c:pt idx="14">
                  <c:v>90831.811176228352</c:v>
                </c:pt>
                <c:pt idx="15">
                  <c:v>93556.765511515157</c:v>
                </c:pt>
                <c:pt idx="16">
                  <c:v>96363.468476860638</c:v>
                </c:pt>
                <c:pt idx="17">
                  <c:v>99254.37253116646</c:v>
                </c:pt>
                <c:pt idx="18">
                  <c:v>102232.00370710144</c:v>
                </c:pt>
                <c:pt idx="19">
                  <c:v>105298.96381831447</c:v>
                </c:pt>
                <c:pt idx="20">
                  <c:v>108457.93273286393</c:v>
                </c:pt>
                <c:pt idx="21">
                  <c:v>111711.67071484984</c:v>
                </c:pt>
                <c:pt idx="22">
                  <c:v>115063.02083629536</c:v>
                </c:pt>
                <c:pt idx="23">
                  <c:v>118514.9114613842</c:v>
                </c:pt>
                <c:pt idx="24">
                  <c:v>122070.3588052257</c:v>
                </c:pt>
                <c:pt idx="25">
                  <c:v>125732.46956938255</c:v>
                </c:pt>
                <c:pt idx="26">
                  <c:v>129504.44365646401</c:v>
                </c:pt>
                <c:pt idx="27">
                  <c:v>133389.57696615794</c:v>
                </c:pt>
                <c:pt idx="28">
                  <c:v>137391.26427514266</c:v>
                </c:pt>
              </c:numCache>
            </c:numRef>
          </c:val>
          <c:smooth val="0"/>
          <c:extLst>
            <c:ext xmlns:c16="http://schemas.microsoft.com/office/drawing/2014/chart" uri="{C3380CC4-5D6E-409C-BE32-E72D297353CC}">
              <c16:uniqueId val="{00000000-CC7E-4A7C-8634-32C4863927A2}"/>
            </c:ext>
          </c:extLst>
        </c:ser>
        <c:dLbls>
          <c:showLegendKey val="0"/>
          <c:showVal val="0"/>
          <c:showCatName val="0"/>
          <c:showSerName val="0"/>
          <c:showPercent val="0"/>
          <c:showBubbleSize val="0"/>
        </c:dLbls>
        <c:smooth val="0"/>
        <c:axId val="133502080"/>
        <c:axId val="133503616"/>
      </c:lineChart>
      <c:catAx>
        <c:axId val="133502080"/>
        <c:scaling>
          <c:orientation val="minMax"/>
        </c:scaling>
        <c:delete val="0"/>
        <c:axPos val="b"/>
        <c:numFmt formatCode="General" sourceLinked="1"/>
        <c:majorTickMark val="none"/>
        <c:minorTickMark val="none"/>
        <c:tickLblPos val="nextTo"/>
        <c:txPr>
          <a:bodyPr rot="0" vert="horz"/>
          <a:lstStyle/>
          <a:p>
            <a:pPr>
              <a:defRPr/>
            </a:pPr>
            <a:endParaRPr lang="en-US"/>
          </a:p>
        </c:txPr>
        <c:crossAx val="133503616"/>
        <c:crosses val="autoZero"/>
        <c:auto val="1"/>
        <c:lblAlgn val="ctr"/>
        <c:lblOffset val="100"/>
        <c:noMultiLvlLbl val="0"/>
      </c:catAx>
      <c:valAx>
        <c:axId val="133503616"/>
        <c:scaling>
          <c:orientation val="minMax"/>
        </c:scaling>
        <c:delete val="0"/>
        <c:axPos val="l"/>
        <c:majorGridlines/>
        <c:numFmt formatCode="General" sourceLinked="1"/>
        <c:majorTickMark val="none"/>
        <c:minorTickMark val="none"/>
        <c:tickLblPos val="nextTo"/>
        <c:crossAx val="13350208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21084864391949"/>
          <c:y val="0.18565981335666376"/>
          <c:w val="0.72861307961504806"/>
          <c:h val="0.69836030912802571"/>
        </c:manualLayout>
      </c:layout>
      <c:lineChart>
        <c:grouping val="standard"/>
        <c:varyColors val="0"/>
        <c:ser>
          <c:idx val="0"/>
          <c:order val="0"/>
          <c:marker>
            <c:symbol val="none"/>
          </c:marker>
          <c:val>
            <c:numRef>
              <c:f>'Sample Amort Comparison'!$F$15:$F$45</c:f>
              <c:numCache>
                <c:formatCode>_("$"* #,##0_);_("$"* \(#,##0\);_("$"* "-"??_);_(@_)</c:formatCode>
                <c:ptCount val="31"/>
                <c:pt idx="0">
                  <c:v>1406503.4927403762</c:v>
                </c:pt>
                <c:pt idx="1">
                  <c:v>2897397.195045175</c:v>
                </c:pt>
                <c:pt idx="2">
                  <c:v>4476478.6663447954</c:v>
                </c:pt>
                <c:pt idx="3">
                  <c:v>6147697.3684468521</c:v>
                </c:pt>
                <c:pt idx="4">
                  <c:v>7915160.3618753208</c:v>
                </c:pt>
                <c:pt idx="5">
                  <c:v>8152615.1727315802</c:v>
                </c:pt>
                <c:pt idx="6">
                  <c:v>8397193.6279135291</c:v>
                </c:pt>
                <c:pt idx="7">
                  <c:v>8649109.4367509354</c:v>
                </c:pt>
                <c:pt idx="8">
                  <c:v>8908582.7198534608</c:v>
                </c:pt>
                <c:pt idx="9">
                  <c:v>9175840.2014490664</c:v>
                </c:pt>
                <c:pt idx="10">
                  <c:v>9451115.4074925371</c:v>
                </c:pt>
                <c:pt idx="11">
                  <c:v>9734648.8697173148</c:v>
                </c:pt>
                <c:pt idx="12">
                  <c:v>10026688.335808832</c:v>
                </c:pt>
                <c:pt idx="13">
                  <c:v>10327488.985883096</c:v>
                </c:pt>
                <c:pt idx="14">
                  <c:v>10637313.65545959</c:v>
                </c:pt>
                <c:pt idx="15">
                  <c:v>10956433.065123379</c:v>
                </c:pt>
                <c:pt idx="16">
                  <c:v>11285126.057077078</c:v>
                </c:pt>
                <c:pt idx="17">
                  <c:v>11623679.83878939</c:v>
                </c:pt>
                <c:pt idx="18">
                  <c:v>11972390.233953072</c:v>
                </c:pt>
                <c:pt idx="19">
                  <c:v>12331561.940971665</c:v>
                </c:pt>
                <c:pt idx="20">
                  <c:v>12701508.799200814</c:v>
                </c:pt>
                <c:pt idx="21">
                  <c:v>13082554.063176837</c:v>
                </c:pt>
                <c:pt idx="22">
                  <c:v>13475030.685072143</c:v>
                </c:pt>
                <c:pt idx="23">
                  <c:v>13879281.605624309</c:v>
                </c:pt>
                <c:pt idx="24">
                  <c:v>14295660.053793035</c:v>
                </c:pt>
                <c:pt idx="25">
                  <c:v>14724529.855406826</c:v>
                </c:pt>
                <c:pt idx="26">
                  <c:v>12133012.600855228</c:v>
                </c:pt>
                <c:pt idx="27">
                  <c:v>9372752.2341606617</c:v>
                </c:pt>
                <c:pt idx="28">
                  <c:v>6435956.5341236545</c:v>
                </c:pt>
                <c:pt idx="29">
                  <c:v>3314517.6150736818</c:v>
                </c:pt>
              </c:numCache>
            </c:numRef>
          </c:val>
          <c:smooth val="0"/>
          <c:extLst>
            <c:ext xmlns:c16="http://schemas.microsoft.com/office/drawing/2014/chart" uri="{C3380CC4-5D6E-409C-BE32-E72D297353CC}">
              <c16:uniqueId val="{00000000-38D4-428B-9C07-CC273CE0DF52}"/>
            </c:ext>
          </c:extLst>
        </c:ser>
        <c:dLbls>
          <c:showLegendKey val="0"/>
          <c:showVal val="0"/>
          <c:showCatName val="0"/>
          <c:showSerName val="0"/>
          <c:showPercent val="0"/>
          <c:showBubbleSize val="0"/>
        </c:dLbls>
        <c:smooth val="0"/>
        <c:axId val="133531904"/>
        <c:axId val="133533696"/>
      </c:lineChart>
      <c:catAx>
        <c:axId val="133531904"/>
        <c:scaling>
          <c:orientation val="minMax"/>
        </c:scaling>
        <c:delete val="0"/>
        <c:axPos val="b"/>
        <c:majorTickMark val="out"/>
        <c:minorTickMark val="none"/>
        <c:tickLblPos val="nextTo"/>
        <c:crossAx val="133533696"/>
        <c:crosses val="autoZero"/>
        <c:auto val="1"/>
        <c:lblAlgn val="ctr"/>
        <c:lblOffset val="100"/>
        <c:noMultiLvlLbl val="0"/>
      </c:catAx>
      <c:valAx>
        <c:axId val="133533696"/>
        <c:scaling>
          <c:orientation val="minMax"/>
        </c:scaling>
        <c:delete val="0"/>
        <c:axPos val="l"/>
        <c:majorGridlines/>
        <c:numFmt formatCode="_(&quot;$&quot;* #,##0_);_(&quot;$&quot;* \(#,##0\);_(&quot;$&quot;* &quot;-&quot;??_);_(@_)" sourceLinked="1"/>
        <c:majorTickMark val="out"/>
        <c:minorTickMark val="none"/>
        <c:tickLblPos val="nextTo"/>
        <c:crossAx val="133531904"/>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numRef>
              <c:f>Chart!$C$10:$C$26</c:f>
              <c:numCache>
                <c:formatCode>General</c:formatCode>
                <c:ptCount val="17"/>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numCache>
            </c:numRef>
          </c:cat>
          <c:val>
            <c:numRef>
              <c:f>Chart!$D$10:$D$26</c:f>
              <c:numCache>
                <c:formatCode>_(* #,##0_);_(* \(#,##0\);_(* "-"??_);_(@_)</c:formatCode>
                <c:ptCount val="17"/>
                <c:pt idx="0">
                  <c:v>25045775.982986491</c:v>
                </c:pt>
                <c:pt idx="1">
                  <c:v>26802189.242117766</c:v>
                </c:pt>
                <c:pt idx="2">
                  <c:v>28628586.436755985</c:v>
                </c:pt>
                <c:pt idx="3">
                  <c:v>30491471.021183539</c:v>
                </c:pt>
                <c:pt idx="4">
                  <c:v>33518716.707046639</c:v>
                </c:pt>
                <c:pt idx="5">
                  <c:v>36254845.861836992</c:v>
                </c:pt>
                <c:pt idx="6">
                  <c:v>37280769.161154374</c:v>
                </c:pt>
                <c:pt idx="7">
                  <c:v>38334754.006433606</c:v>
                </c:pt>
                <c:pt idx="8">
                  <c:v>39417537.193284698</c:v>
                </c:pt>
                <c:pt idx="9">
                  <c:v>40529874.26499857</c:v>
                </c:pt>
                <c:pt idx="10">
                  <c:v>41672539.99654571</c:v>
                </c:pt>
                <c:pt idx="11">
                  <c:v>42846328.892067149</c:v>
                </c:pt>
                <c:pt idx="12">
                  <c:v>44052055.69624573</c:v>
                </c:pt>
                <c:pt idx="13">
                  <c:v>45290555.919955045</c:v>
                </c:pt>
                <c:pt idx="14">
                  <c:v>46562686.380593009</c:v>
                </c:pt>
                <c:pt idx="15">
                  <c:v>47869325.757515691</c:v>
                </c:pt>
                <c:pt idx="16">
                  <c:v>49211375.162997618</c:v>
                </c:pt>
              </c:numCache>
            </c:numRef>
          </c:val>
          <c:smooth val="0"/>
          <c:extLst>
            <c:ext xmlns:c16="http://schemas.microsoft.com/office/drawing/2014/chart" uri="{C3380CC4-5D6E-409C-BE32-E72D297353CC}">
              <c16:uniqueId val="{00000000-DDEB-4CE1-98A5-409AF0949764}"/>
            </c:ext>
          </c:extLst>
        </c:ser>
        <c:ser>
          <c:idx val="1"/>
          <c:order val="1"/>
          <c:marker>
            <c:symbol val="none"/>
          </c:marker>
          <c:cat>
            <c:numRef>
              <c:f>Chart!$C$10:$C$26</c:f>
              <c:numCache>
                <c:formatCode>General</c:formatCode>
                <c:ptCount val="17"/>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numCache>
            </c:numRef>
          </c:cat>
          <c:val>
            <c:numRef>
              <c:f>Chart!$E$10:$E$26</c:f>
              <c:numCache>
                <c:formatCode>_(* #,##0_);_(* \(#,##0\);_(* "-"??_);_(@_)</c:formatCode>
                <c:ptCount val="17"/>
                <c:pt idx="0">
                  <c:v>30470113.894000754</c:v>
                </c:pt>
                <c:pt idx="1">
                  <c:v>31384217.310820784</c:v>
                </c:pt>
                <c:pt idx="2">
                  <c:v>32325743.8301454</c:v>
                </c:pt>
                <c:pt idx="3">
                  <c:v>33295516.145049766</c:v>
                </c:pt>
                <c:pt idx="4">
                  <c:v>34294381.629401267</c:v>
                </c:pt>
                <c:pt idx="5">
                  <c:v>35323213.078283295</c:v>
                </c:pt>
                <c:pt idx="6">
                  <c:v>36382909.470631793</c:v>
                </c:pt>
                <c:pt idx="7">
                  <c:v>37474396.754750766</c:v>
                </c:pt>
                <c:pt idx="8">
                  <c:v>38598628.657393269</c:v>
                </c:pt>
                <c:pt idx="9">
                  <c:v>39756587.517115071</c:v>
                </c:pt>
                <c:pt idx="10">
                  <c:v>40949285.142628521</c:v>
                </c:pt>
                <c:pt idx="11">
                  <c:v>42177763.696907379</c:v>
                </c:pt>
                <c:pt idx="12">
                  <c:v>43443096.60781461</c:v>
                </c:pt>
                <c:pt idx="13">
                  <c:v>44746389.506049052</c:v>
                </c:pt>
                <c:pt idx="14">
                  <c:v>46088781.191230521</c:v>
                </c:pt>
                <c:pt idx="15">
                  <c:v>47471444.626967445</c:v>
                </c:pt>
                <c:pt idx="16">
                  <c:v>48895587.965776488</c:v>
                </c:pt>
              </c:numCache>
            </c:numRef>
          </c:val>
          <c:smooth val="0"/>
          <c:extLst>
            <c:ext xmlns:c16="http://schemas.microsoft.com/office/drawing/2014/chart" uri="{C3380CC4-5D6E-409C-BE32-E72D297353CC}">
              <c16:uniqueId val="{00000001-DDEB-4CE1-98A5-409AF0949764}"/>
            </c:ext>
          </c:extLst>
        </c:ser>
        <c:ser>
          <c:idx val="2"/>
          <c:order val="2"/>
          <c:marker>
            <c:symbol val="none"/>
          </c:marker>
          <c:cat>
            <c:numRef>
              <c:f>Chart!$C$10:$C$26</c:f>
              <c:numCache>
                <c:formatCode>General</c:formatCode>
                <c:ptCount val="17"/>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numCache>
            </c:numRef>
          </c:cat>
          <c:val>
            <c:numRef>
              <c:f>Chart!$F$10:$F$26</c:f>
              <c:numCache>
                <c:formatCode>_(* #,##0_);_(* \(#,##0\);_(* "-"??_);_(@_)</c:formatCode>
                <c:ptCount val="17"/>
                <c:pt idx="0">
                  <c:v>34662906.94296661</c:v>
                </c:pt>
                <c:pt idx="1">
                  <c:v>35702794.151255608</c:v>
                </c:pt>
                <c:pt idx="2">
                  <c:v>36773877.97579328</c:v>
                </c:pt>
                <c:pt idx="3">
                  <c:v>37877094.315067075</c:v>
                </c:pt>
                <c:pt idx="4">
                  <c:v>39013407.144519091</c:v>
                </c:pt>
                <c:pt idx="5">
                  <c:v>40183809.358854651</c:v>
                </c:pt>
                <c:pt idx="6">
                  <c:v>41389323.639620304</c:v>
                </c:pt>
                <c:pt idx="7">
                  <c:v>42631003.348808914</c:v>
                </c:pt>
                <c:pt idx="8">
                  <c:v>43909933.449273162</c:v>
                </c:pt>
                <c:pt idx="9">
                  <c:v>45227231.452751368</c:v>
                </c:pt>
                <c:pt idx="10">
                  <c:v>46584048.396333888</c:v>
                </c:pt>
                <c:pt idx="11">
                  <c:v>47981569.848223917</c:v>
                </c:pt>
                <c:pt idx="12">
                  <c:v>49421016.943670645</c:v>
                </c:pt>
                <c:pt idx="13">
                  <c:v>50903647.451980762</c:v>
                </c:pt>
                <c:pt idx="14">
                  <c:v>52430756.875540167</c:v>
                </c:pt>
                <c:pt idx="15">
                  <c:v>54003679.581806391</c:v>
                </c:pt>
                <c:pt idx="16">
                  <c:v>55623789.969260588</c:v>
                </c:pt>
              </c:numCache>
            </c:numRef>
          </c:val>
          <c:smooth val="0"/>
          <c:extLst>
            <c:ext xmlns:c16="http://schemas.microsoft.com/office/drawing/2014/chart" uri="{C3380CC4-5D6E-409C-BE32-E72D297353CC}">
              <c16:uniqueId val="{00000002-DDEB-4CE1-98A5-409AF0949764}"/>
            </c:ext>
          </c:extLst>
        </c:ser>
        <c:ser>
          <c:idx val="3"/>
          <c:order val="3"/>
          <c:marker>
            <c:symbol val="none"/>
          </c:marker>
          <c:cat>
            <c:numRef>
              <c:f>Chart!$C$10:$C$26</c:f>
              <c:numCache>
                <c:formatCode>General</c:formatCode>
                <c:ptCount val="17"/>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numCache>
            </c:numRef>
          </c:cat>
          <c:val>
            <c:numRef>
              <c:f>Chart!$G$10:$G$26</c:f>
              <c:numCache>
                <c:formatCode>_("$"* #,##0_);_("$"* \(#,##0\);_("$"* "-"??_);_(@_)</c:formatCode>
                <c:ptCount val="17"/>
                <c:pt idx="0">
                  <c:v>41086550.878997132</c:v>
                </c:pt>
                <c:pt idx="1">
                  <c:v>41086550.878997132</c:v>
                </c:pt>
                <c:pt idx="2">
                  <c:v>41086550.878997125</c:v>
                </c:pt>
                <c:pt idx="3">
                  <c:v>41086550.878997132</c:v>
                </c:pt>
                <c:pt idx="4">
                  <c:v>41086550.878997132</c:v>
                </c:pt>
                <c:pt idx="5">
                  <c:v>41086550.878997132</c:v>
                </c:pt>
                <c:pt idx="6">
                  <c:v>41086550.87899714</c:v>
                </c:pt>
                <c:pt idx="7">
                  <c:v>41086550.878997132</c:v>
                </c:pt>
                <c:pt idx="8">
                  <c:v>41086550.87899714</c:v>
                </c:pt>
                <c:pt idx="9">
                  <c:v>41086550.878997125</c:v>
                </c:pt>
                <c:pt idx="10">
                  <c:v>41086550.878997117</c:v>
                </c:pt>
                <c:pt idx="11">
                  <c:v>41086550.878997117</c:v>
                </c:pt>
                <c:pt idx="12">
                  <c:v>41086550.878997117</c:v>
                </c:pt>
                <c:pt idx="13">
                  <c:v>41086550.878997132</c:v>
                </c:pt>
                <c:pt idx="14">
                  <c:v>41086550.878997125</c:v>
                </c:pt>
                <c:pt idx="15">
                  <c:v>41086550.878997117</c:v>
                </c:pt>
                <c:pt idx="16">
                  <c:v>41086550.878997125</c:v>
                </c:pt>
              </c:numCache>
            </c:numRef>
          </c:val>
          <c:smooth val="0"/>
          <c:extLst>
            <c:ext xmlns:c16="http://schemas.microsoft.com/office/drawing/2014/chart" uri="{C3380CC4-5D6E-409C-BE32-E72D297353CC}">
              <c16:uniqueId val="{00000003-DDEB-4CE1-98A5-409AF0949764}"/>
            </c:ext>
          </c:extLst>
        </c:ser>
        <c:dLbls>
          <c:showLegendKey val="0"/>
          <c:showVal val="0"/>
          <c:showCatName val="0"/>
          <c:showSerName val="0"/>
          <c:showPercent val="0"/>
          <c:showBubbleSize val="0"/>
        </c:dLbls>
        <c:smooth val="0"/>
        <c:axId val="144543104"/>
        <c:axId val="147395712"/>
      </c:lineChart>
      <c:catAx>
        <c:axId val="144543104"/>
        <c:scaling>
          <c:orientation val="minMax"/>
        </c:scaling>
        <c:delete val="0"/>
        <c:axPos val="b"/>
        <c:numFmt formatCode="General" sourceLinked="1"/>
        <c:majorTickMark val="out"/>
        <c:minorTickMark val="none"/>
        <c:tickLblPos val="nextTo"/>
        <c:crossAx val="147395712"/>
        <c:crosses val="autoZero"/>
        <c:auto val="1"/>
        <c:lblAlgn val="ctr"/>
        <c:lblOffset val="100"/>
        <c:noMultiLvlLbl val="0"/>
      </c:catAx>
      <c:valAx>
        <c:axId val="147395712"/>
        <c:scaling>
          <c:orientation val="minMax"/>
        </c:scaling>
        <c:delete val="0"/>
        <c:axPos val="l"/>
        <c:majorGridlines/>
        <c:numFmt formatCode="_(* #,##0_);_(* \(#,##0\);_(* &quot;-&quot;??_);_(@_)" sourceLinked="1"/>
        <c:majorTickMark val="out"/>
        <c:minorTickMark val="none"/>
        <c:tickLblPos val="nextTo"/>
        <c:crossAx val="144543104"/>
        <c:crosses val="autoZero"/>
        <c:crossBetween val="between"/>
      </c:valAx>
    </c:plotArea>
    <c:legend>
      <c:legendPos val="r"/>
      <c:overlay val="0"/>
    </c:legend>
    <c:plotVisOnly val="1"/>
    <c:dispBlanksAs val="gap"/>
    <c:showDLblsOverMax val="0"/>
  </c:chart>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Payment Comparisons</a:t>
            </a:r>
          </a:p>
        </c:rich>
      </c:tx>
      <c:overlay val="0"/>
    </c:title>
    <c:autoTitleDeleted val="0"/>
    <c:plotArea>
      <c:layout>
        <c:manualLayout>
          <c:layoutTarget val="inner"/>
          <c:xMode val="edge"/>
          <c:yMode val="edge"/>
          <c:x val="0.21012751531058618"/>
          <c:y val="0.14862277631962673"/>
          <c:w val="0.68969215002438478"/>
          <c:h val="0.70831768402701978"/>
        </c:manualLayout>
      </c:layout>
      <c:lineChart>
        <c:grouping val="standard"/>
        <c:varyColors val="0"/>
        <c:ser>
          <c:idx val="0"/>
          <c:order val="0"/>
          <c:tx>
            <c:v>Default</c:v>
          </c:tx>
          <c:marker>
            <c:symbol val="none"/>
          </c:marker>
          <c:val>
            <c:numRef>
              <c:f>'PmtComp w2016 loss'!$K$10:$K$40</c:f>
              <c:numCache>
                <c:formatCode>_(* #,##0_);_(* \(#,##0\);_(* "-"??_);_(@_)</c:formatCode>
                <c:ptCount val="31"/>
                <c:pt idx="0">
                  <c:v>24010248.028531358</c:v>
                </c:pt>
                <c:pt idx="1">
                  <c:v>26490975.391102344</c:v>
                </c:pt>
                <c:pt idx="2">
                  <c:v>28094399.342116501</c:v>
                </c:pt>
                <c:pt idx="3">
                  <c:v>29770186.852339514</c:v>
                </c:pt>
                <c:pt idx="4">
                  <c:v>32618921.620232772</c:v>
                </c:pt>
                <c:pt idx="5">
                  <c:v>35140215.358322963</c:v>
                </c:pt>
                <c:pt idx="6">
                  <c:v>36194421.819072656</c:v>
                </c:pt>
                <c:pt idx="7">
                  <c:v>37280254.473644838</c:v>
                </c:pt>
                <c:pt idx="8">
                  <c:v>38398662.107854173</c:v>
                </c:pt>
                <c:pt idx="9">
                  <c:v>39550621.971089803</c:v>
                </c:pt>
                <c:pt idx="10">
                  <c:v>40737140.630222492</c:v>
                </c:pt>
                <c:pt idx="11">
                  <c:v>41959254.84912917</c:v>
                </c:pt>
                <c:pt idx="12">
                  <c:v>43218032.49460306</c:v>
                </c:pt>
                <c:pt idx="13">
                  <c:v>44514573.469441161</c:v>
                </c:pt>
                <c:pt idx="14">
                  <c:v>45850010.673524395</c:v>
                </c:pt>
                <c:pt idx="15">
                  <c:v>47225510.993730128</c:v>
                </c:pt>
                <c:pt idx="16">
                  <c:v>48642276.323542051</c:v>
                </c:pt>
                <c:pt idx="17">
                  <c:v>6299599.8793900805</c:v>
                </c:pt>
                <c:pt idx="18">
                  <c:v>6488587.8757717833</c:v>
                </c:pt>
                <c:pt idx="19">
                  <c:v>6683245.5120449364</c:v>
                </c:pt>
                <c:pt idx="20">
                  <c:v>6883742.877406287</c:v>
                </c:pt>
                <c:pt idx="21">
                  <c:v>7090255.1637284718</c:v>
                </c:pt>
                <c:pt idx="22">
                  <c:v>7302962.8186403252</c:v>
                </c:pt>
                <c:pt idx="23">
                  <c:v>7522051.7031995375</c:v>
                </c:pt>
                <c:pt idx="24">
                  <c:v>7747713.2542955242</c:v>
                </c:pt>
                <c:pt idx="25">
                  <c:v>10022162.036485892</c:v>
                </c:pt>
                <c:pt idx="26">
                  <c:v>11548842.0691843</c:v>
                </c:pt>
                <c:pt idx="27">
                  <c:v>10202080.239014512</c:v>
                </c:pt>
                <c:pt idx="28">
                  <c:v>8764118.7411722708</c:v>
                </c:pt>
                <c:pt idx="29">
                  <c:v>7230697.6812443826</c:v>
                </c:pt>
                <c:pt idx="30">
                  <c:v>3230125.8376617166</c:v>
                </c:pt>
              </c:numCache>
            </c:numRef>
          </c:val>
          <c:smooth val="0"/>
          <c:extLst>
            <c:ext xmlns:c16="http://schemas.microsoft.com/office/drawing/2014/chart" uri="{C3380CC4-5D6E-409C-BE32-E72D297353CC}">
              <c16:uniqueId val="{00000000-5F8B-408E-BEB9-EAED8126E2E0}"/>
            </c:ext>
          </c:extLst>
        </c:ser>
        <c:ser>
          <c:idx val="1"/>
          <c:order val="1"/>
          <c:tx>
            <c:v>Alt 1</c:v>
          </c:tx>
          <c:marker>
            <c:symbol val="none"/>
          </c:marker>
          <c:val>
            <c:numRef>
              <c:f>'PmtComp w2016 loss'!$Q$10:$Q$40</c:f>
            </c:numRef>
          </c:val>
          <c:smooth val="0"/>
          <c:extLst>
            <c:ext xmlns:c16="http://schemas.microsoft.com/office/drawing/2014/chart" uri="{C3380CC4-5D6E-409C-BE32-E72D297353CC}">
              <c16:uniqueId val="{00000001-5F8B-408E-BEB9-EAED8126E2E0}"/>
            </c:ext>
          </c:extLst>
        </c:ser>
        <c:ser>
          <c:idx val="2"/>
          <c:order val="2"/>
          <c:tx>
            <c:v>Alt 2</c:v>
          </c:tx>
          <c:marker>
            <c:symbol val="none"/>
          </c:marker>
          <c:val>
            <c:numRef>
              <c:f>'PmtComp w2016 loss'!$U$10:$U$40</c:f>
            </c:numRef>
          </c:val>
          <c:smooth val="0"/>
          <c:extLst>
            <c:ext xmlns:c16="http://schemas.microsoft.com/office/drawing/2014/chart" uri="{C3380CC4-5D6E-409C-BE32-E72D297353CC}">
              <c16:uniqueId val="{00000002-5F8B-408E-BEB9-EAED8126E2E0}"/>
            </c:ext>
          </c:extLst>
        </c:ser>
        <c:dLbls>
          <c:showLegendKey val="0"/>
          <c:showVal val="0"/>
          <c:showCatName val="0"/>
          <c:showSerName val="0"/>
          <c:showPercent val="0"/>
          <c:showBubbleSize val="0"/>
        </c:dLbls>
        <c:smooth val="0"/>
        <c:axId val="147413632"/>
        <c:axId val="147419520"/>
      </c:lineChart>
      <c:catAx>
        <c:axId val="147413632"/>
        <c:scaling>
          <c:orientation val="minMax"/>
        </c:scaling>
        <c:delete val="0"/>
        <c:axPos val="b"/>
        <c:majorTickMark val="none"/>
        <c:minorTickMark val="none"/>
        <c:tickLblPos val="nextTo"/>
        <c:crossAx val="147419520"/>
        <c:crosses val="autoZero"/>
        <c:auto val="1"/>
        <c:lblAlgn val="ctr"/>
        <c:lblOffset val="100"/>
        <c:noMultiLvlLbl val="0"/>
      </c:catAx>
      <c:valAx>
        <c:axId val="147419520"/>
        <c:scaling>
          <c:orientation val="minMax"/>
        </c:scaling>
        <c:delete val="0"/>
        <c:axPos val="l"/>
        <c:majorGridlines/>
        <c:numFmt formatCode="_(* #,##0_);_(* \(#,##0\);_(* &quot;-&quot;??_);_(@_)" sourceLinked="1"/>
        <c:majorTickMark val="none"/>
        <c:minorTickMark val="none"/>
        <c:tickLblPos val="nextTo"/>
        <c:spPr>
          <a:ln w="9525">
            <a:noFill/>
          </a:ln>
        </c:spPr>
        <c:crossAx val="147413632"/>
        <c:crosses val="autoZero"/>
        <c:crossBetween val="between"/>
      </c:valAx>
    </c:plotArea>
    <c:legend>
      <c:legendPos val="b"/>
      <c:overlay val="0"/>
    </c:legend>
    <c:plotVisOnly val="1"/>
    <c:dispBlanksAs val="gap"/>
    <c:showDLblsOverMax val="0"/>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Payment Comparisons</a:t>
            </a:r>
          </a:p>
        </c:rich>
      </c:tx>
      <c:overlay val="0"/>
    </c:title>
    <c:autoTitleDeleted val="0"/>
    <c:plotArea>
      <c:layout>
        <c:manualLayout>
          <c:layoutTarget val="inner"/>
          <c:xMode val="edge"/>
          <c:yMode val="edge"/>
          <c:x val="0.21012751531058618"/>
          <c:y val="0.14862277631962673"/>
          <c:w val="0.68969215002438478"/>
          <c:h val="0.70831768402701978"/>
        </c:manualLayout>
      </c:layout>
      <c:lineChart>
        <c:grouping val="standard"/>
        <c:varyColors val="0"/>
        <c:ser>
          <c:idx val="0"/>
          <c:order val="0"/>
          <c:tx>
            <c:v>Default</c:v>
          </c:tx>
          <c:marker>
            <c:symbol val="none"/>
          </c:marker>
          <c:val>
            <c:numRef>
              <c:f>'Post Disc Recomm Comp Alt1'!$H$10:$H$40</c:f>
            </c:numRef>
          </c:val>
          <c:smooth val="0"/>
          <c:extLst>
            <c:ext xmlns:c16="http://schemas.microsoft.com/office/drawing/2014/chart" uri="{C3380CC4-5D6E-409C-BE32-E72D297353CC}">
              <c16:uniqueId val="{00000000-6E67-43D5-BD45-EB5AD3F076C2}"/>
            </c:ext>
          </c:extLst>
        </c:ser>
        <c:ser>
          <c:idx val="1"/>
          <c:order val="1"/>
          <c:tx>
            <c:v>Alt 1</c:v>
          </c:tx>
          <c:marker>
            <c:symbol val="none"/>
          </c:marker>
          <c:val>
            <c:numRef>
              <c:f>'Post Disc Recomm Comp Alt1'!$Q$10:$Q$40</c:f>
              <c:numCache>
                <c:formatCode>_(* #,##0_);_(* \(#,##0\);_(* "-"??_);_(@_)</c:formatCode>
                <c:ptCount val="31"/>
                <c:pt idx="0">
                  <c:v>32735980.057392418</c:v>
                </c:pt>
                <c:pt idx="1">
                  <c:v>33692543.846209303</c:v>
                </c:pt>
                <c:pt idx="2">
                  <c:v>33672574.056022011</c:v>
                </c:pt>
                <c:pt idx="3">
                  <c:v>33621158.561697066</c:v>
                </c:pt>
                <c:pt idx="4">
                  <c:v>34634116.630246736</c:v>
                </c:pt>
                <c:pt idx="5">
                  <c:v>35677675.158744216</c:v>
                </c:pt>
                <c:pt idx="6">
                  <c:v>36752761.79701183</c:v>
                </c:pt>
                <c:pt idx="7">
                  <c:v>37860332.424992301</c:v>
                </c:pt>
                <c:pt idx="8">
                  <c:v>39001372.014598355</c:v>
                </c:pt>
                <c:pt idx="9">
                  <c:v>40176895.51791551</c:v>
                </c:pt>
                <c:pt idx="10">
                  <c:v>41387948.78256382</c:v>
                </c:pt>
                <c:pt idx="11">
                  <c:v>42635609.49505017</c:v>
                </c:pt>
                <c:pt idx="12">
                  <c:v>43920988.15296673</c:v>
                </c:pt>
                <c:pt idx="13">
                  <c:v>45245229.066918835</c:v>
                </c:pt>
                <c:pt idx="14">
                  <c:v>46609511.393091828</c:v>
                </c:pt>
                <c:pt idx="15">
                  <c:v>48015050.197394408</c:v>
                </c:pt>
                <c:pt idx="16">
                  <c:v>49463097.552145332</c:v>
                </c:pt>
                <c:pt idx="17">
                  <c:v>7152998.9324410986</c:v>
                </c:pt>
                <c:pt idx="18">
                  <c:v>7375914.9743651673</c:v>
                </c:pt>
                <c:pt idx="19">
                  <c:v>7605907.5480419602</c:v>
                </c:pt>
                <c:pt idx="20">
                  <c:v>-8807310.6689396612</c:v>
                </c:pt>
                <c:pt idx="21">
                  <c:v>-9071529.989007853</c:v>
                </c:pt>
                <c:pt idx="22">
                  <c:v>-9343675.8886780888</c:v>
                </c:pt>
                <c:pt idx="23">
                  <c:v>-9623986.1653384306</c:v>
                </c:pt>
                <c:pt idx="24">
                  <c:v>-9912705.750298582</c:v>
                </c:pt>
                <c:pt idx="25">
                  <c:v>-8168069.5382460346</c:v>
                </c:pt>
                <c:pt idx="26">
                  <c:v>-6309833.7182950601</c:v>
                </c:pt>
                <c:pt idx="27">
                  <c:v>-4332752.4865626087</c:v>
                </c:pt>
                <c:pt idx="28">
                  <c:v>-2231367.530579743</c:v>
                </c:pt>
                <c:pt idx="29">
                  <c:v>0</c:v>
                </c:pt>
                <c:pt idx="30">
                  <c:v>0</c:v>
                </c:pt>
              </c:numCache>
            </c:numRef>
          </c:val>
          <c:smooth val="0"/>
          <c:extLst>
            <c:ext xmlns:c16="http://schemas.microsoft.com/office/drawing/2014/chart" uri="{C3380CC4-5D6E-409C-BE32-E72D297353CC}">
              <c16:uniqueId val="{00000001-6E67-43D5-BD45-EB5AD3F076C2}"/>
            </c:ext>
          </c:extLst>
        </c:ser>
        <c:ser>
          <c:idx val="2"/>
          <c:order val="2"/>
          <c:tx>
            <c:v>Alt 2</c:v>
          </c:tx>
          <c:marker>
            <c:symbol val="none"/>
          </c:marker>
          <c:val>
            <c:numRef>
              <c:f>'Post Disc Recomm Comp Alt1'!$U$10:$U$40</c:f>
            </c:numRef>
          </c:val>
          <c:smooth val="0"/>
          <c:extLst>
            <c:ext xmlns:c16="http://schemas.microsoft.com/office/drawing/2014/chart" uri="{C3380CC4-5D6E-409C-BE32-E72D297353CC}">
              <c16:uniqueId val="{00000002-6E67-43D5-BD45-EB5AD3F076C2}"/>
            </c:ext>
          </c:extLst>
        </c:ser>
        <c:dLbls>
          <c:showLegendKey val="0"/>
          <c:showVal val="0"/>
          <c:showCatName val="0"/>
          <c:showSerName val="0"/>
          <c:showPercent val="0"/>
          <c:showBubbleSize val="0"/>
        </c:dLbls>
        <c:smooth val="0"/>
        <c:axId val="148396288"/>
        <c:axId val="148406272"/>
      </c:lineChart>
      <c:catAx>
        <c:axId val="148396288"/>
        <c:scaling>
          <c:orientation val="minMax"/>
        </c:scaling>
        <c:delete val="0"/>
        <c:axPos val="b"/>
        <c:majorTickMark val="none"/>
        <c:minorTickMark val="none"/>
        <c:tickLblPos val="nextTo"/>
        <c:crossAx val="148406272"/>
        <c:crosses val="autoZero"/>
        <c:auto val="1"/>
        <c:lblAlgn val="ctr"/>
        <c:lblOffset val="100"/>
        <c:noMultiLvlLbl val="0"/>
      </c:catAx>
      <c:valAx>
        <c:axId val="148406272"/>
        <c:scaling>
          <c:orientation val="minMax"/>
        </c:scaling>
        <c:delete val="0"/>
        <c:axPos val="l"/>
        <c:majorGridlines/>
        <c:numFmt formatCode="_(* #,##0_);_(* \(#,##0\);_(* &quot;-&quot;??_);_(@_)" sourceLinked="1"/>
        <c:majorTickMark val="none"/>
        <c:minorTickMark val="none"/>
        <c:tickLblPos val="nextTo"/>
        <c:spPr>
          <a:ln w="9525">
            <a:noFill/>
          </a:ln>
        </c:spPr>
        <c:crossAx val="148396288"/>
        <c:crosses val="autoZero"/>
        <c:crossBetween val="between"/>
      </c:valAx>
    </c:plotArea>
    <c:legend>
      <c:legendPos val="b"/>
      <c:overlay val="0"/>
    </c:legend>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Payment Comparisons</a:t>
            </a:r>
          </a:p>
        </c:rich>
      </c:tx>
      <c:overlay val="0"/>
    </c:title>
    <c:autoTitleDeleted val="0"/>
    <c:plotArea>
      <c:layout>
        <c:manualLayout>
          <c:layoutTarget val="inner"/>
          <c:xMode val="edge"/>
          <c:yMode val="edge"/>
          <c:x val="0.21012751531058618"/>
          <c:y val="0.14862277631962673"/>
          <c:w val="0.68969215002438478"/>
          <c:h val="0.70831768402701978"/>
        </c:manualLayout>
      </c:layout>
      <c:lineChart>
        <c:grouping val="standard"/>
        <c:varyColors val="0"/>
        <c:ser>
          <c:idx val="0"/>
          <c:order val="0"/>
          <c:tx>
            <c:v>Default</c:v>
          </c:tx>
          <c:marker>
            <c:symbol val="none"/>
          </c:marker>
          <c:val>
            <c:numRef>
              <c:f>'Post Disc Recomm Comp Alt1'!$H$10:$H$40</c:f>
            </c:numRef>
          </c:val>
          <c:smooth val="0"/>
          <c:extLst>
            <c:ext xmlns:c16="http://schemas.microsoft.com/office/drawing/2014/chart" uri="{C3380CC4-5D6E-409C-BE32-E72D297353CC}">
              <c16:uniqueId val="{00000000-8472-4C23-A7C4-DFE27F547EB0}"/>
            </c:ext>
          </c:extLst>
        </c:ser>
        <c:ser>
          <c:idx val="1"/>
          <c:order val="1"/>
          <c:tx>
            <c:v>Alt 1</c:v>
          </c:tx>
          <c:marker>
            <c:symbol val="none"/>
          </c:marker>
          <c:val>
            <c:numRef>
              <c:f>'Post Disc Recomm Comp Alt2'!$R$10:$R$40</c:f>
              <c:numCache>
                <c:formatCode>_(* #,##0_);_(* \(#,##0\);_(* "-"??_);_(@_)</c:formatCode>
                <c:ptCount val="31"/>
                <c:pt idx="0">
                  <c:v>37010463.34478987</c:v>
                </c:pt>
                <c:pt idx="1">
                  <c:v>38091519.450160854</c:v>
                </c:pt>
                <c:pt idx="2">
                  <c:v>38199591.674758367</c:v>
                </c:pt>
                <c:pt idx="3">
                  <c:v>38279865.865326598</c:v>
                </c:pt>
                <c:pt idx="4">
                  <c:v>39428261.841286406</c:v>
                </c:pt>
                <c:pt idx="5">
                  <c:v>40611109.696524978</c:v>
                </c:pt>
                <c:pt idx="6">
                  <c:v>41829442.987420723</c:v>
                </c:pt>
                <c:pt idx="7">
                  <c:v>43084326.277043357</c:v>
                </c:pt>
                <c:pt idx="8">
                  <c:v>44376856.065354645</c:v>
                </c:pt>
                <c:pt idx="9">
                  <c:v>45708161.747315288</c:v>
                </c:pt>
                <c:pt idx="10">
                  <c:v>47079406.599734738</c:v>
                </c:pt>
                <c:pt idx="11">
                  <c:v>48491788.797726788</c:v>
                </c:pt>
                <c:pt idx="12">
                  <c:v>49946542.461658604</c:v>
                </c:pt>
                <c:pt idx="13">
                  <c:v>51444938.735508367</c:v>
                </c:pt>
                <c:pt idx="14">
                  <c:v>52988286.897573613</c:v>
                </c:pt>
                <c:pt idx="15">
                  <c:v>54577935.504500829</c:v>
                </c:pt>
                <c:pt idx="16">
                  <c:v>56215273.569635861</c:v>
                </c:pt>
                <c:pt idx="17">
                  <c:v>14099787.042866707</c:v>
                </c:pt>
                <c:pt idx="18">
                  <c:v>14522780.654152703</c:v>
                </c:pt>
                <c:pt idx="19">
                  <c:v>14958464.073777273</c:v>
                </c:pt>
                <c:pt idx="20">
                  <c:v>-8807310.6689396612</c:v>
                </c:pt>
                <c:pt idx="21">
                  <c:v>-9071529.989007853</c:v>
                </c:pt>
                <c:pt idx="22">
                  <c:v>-9343675.8886780888</c:v>
                </c:pt>
                <c:pt idx="23">
                  <c:v>-9623986.1653384306</c:v>
                </c:pt>
                <c:pt idx="24">
                  <c:v>-9912705.750298582</c:v>
                </c:pt>
                <c:pt idx="25">
                  <c:v>-8168069.5382460346</c:v>
                </c:pt>
                <c:pt idx="26">
                  <c:v>-6309833.7182950601</c:v>
                </c:pt>
                <c:pt idx="27">
                  <c:v>-4332752.4865626087</c:v>
                </c:pt>
                <c:pt idx="28">
                  <c:v>-2231367.530579743</c:v>
                </c:pt>
              </c:numCache>
            </c:numRef>
          </c:val>
          <c:smooth val="0"/>
          <c:extLst>
            <c:ext xmlns:c16="http://schemas.microsoft.com/office/drawing/2014/chart" uri="{C3380CC4-5D6E-409C-BE32-E72D297353CC}">
              <c16:uniqueId val="{00000001-8472-4C23-A7C4-DFE27F547EB0}"/>
            </c:ext>
          </c:extLst>
        </c:ser>
        <c:ser>
          <c:idx val="2"/>
          <c:order val="2"/>
          <c:tx>
            <c:v>Alt 2</c:v>
          </c:tx>
          <c:marker>
            <c:symbol val="none"/>
          </c:marker>
          <c:val>
            <c:numRef>
              <c:f>'Post Disc Recomm Comp Alt1'!$U$10:$U$40</c:f>
            </c:numRef>
          </c:val>
          <c:smooth val="0"/>
          <c:extLst>
            <c:ext xmlns:c16="http://schemas.microsoft.com/office/drawing/2014/chart" uri="{C3380CC4-5D6E-409C-BE32-E72D297353CC}">
              <c16:uniqueId val="{00000002-8472-4C23-A7C4-DFE27F547EB0}"/>
            </c:ext>
          </c:extLst>
        </c:ser>
        <c:dLbls>
          <c:showLegendKey val="0"/>
          <c:showVal val="0"/>
          <c:showCatName val="0"/>
          <c:showSerName val="0"/>
          <c:showPercent val="0"/>
          <c:showBubbleSize val="0"/>
        </c:dLbls>
        <c:smooth val="0"/>
        <c:axId val="154331008"/>
        <c:axId val="154332544"/>
      </c:lineChart>
      <c:catAx>
        <c:axId val="154331008"/>
        <c:scaling>
          <c:orientation val="minMax"/>
        </c:scaling>
        <c:delete val="0"/>
        <c:axPos val="b"/>
        <c:majorTickMark val="none"/>
        <c:minorTickMark val="none"/>
        <c:tickLblPos val="nextTo"/>
        <c:crossAx val="154332544"/>
        <c:crosses val="autoZero"/>
        <c:auto val="1"/>
        <c:lblAlgn val="ctr"/>
        <c:lblOffset val="100"/>
        <c:noMultiLvlLbl val="0"/>
      </c:catAx>
      <c:valAx>
        <c:axId val="154332544"/>
        <c:scaling>
          <c:orientation val="minMax"/>
        </c:scaling>
        <c:delete val="0"/>
        <c:axPos val="l"/>
        <c:majorGridlines/>
        <c:numFmt formatCode="_(* #,##0_);_(* \(#,##0\);_(* &quot;-&quot;??_);_(@_)" sourceLinked="1"/>
        <c:majorTickMark val="none"/>
        <c:minorTickMark val="none"/>
        <c:tickLblPos val="nextTo"/>
        <c:spPr>
          <a:ln w="9525">
            <a:noFill/>
          </a:ln>
        </c:spPr>
        <c:crossAx val="154331008"/>
        <c:crosses val="autoZero"/>
        <c:crossBetween val="between"/>
      </c:valAx>
    </c:plotArea>
    <c:legend>
      <c:legendPos val="b"/>
      <c:overlay val="0"/>
    </c:legend>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Payment Comparisons</a:t>
            </a:r>
          </a:p>
        </c:rich>
      </c:tx>
      <c:overlay val="0"/>
    </c:title>
    <c:autoTitleDeleted val="0"/>
    <c:plotArea>
      <c:layout/>
      <c:lineChart>
        <c:grouping val="standard"/>
        <c:varyColors val="0"/>
        <c:ser>
          <c:idx val="0"/>
          <c:order val="0"/>
          <c:tx>
            <c:v>Default</c:v>
          </c:tx>
          <c:marker>
            <c:symbol val="none"/>
          </c:marker>
          <c:val>
            <c:numRef>
              <c:f>BalComp!$K$10:$K$40</c:f>
              <c:numCache>
                <c:formatCode>_(* #,##0_);_(* \(#,##0\);_(* "-"??_);_(@_)</c:formatCode>
                <c:ptCount val="31"/>
                <c:pt idx="0">
                  <c:v>340833056.52751446</c:v>
                </c:pt>
                <c:pt idx="1">
                  <c:v>367150583.68455803</c:v>
                </c:pt>
                <c:pt idx="2">
                  <c:v>367643095.24685591</c:v>
                </c:pt>
                <c:pt idx="3">
                  <c:v>366762627.61675411</c:v>
                </c:pt>
                <c:pt idx="4">
                  <c:v>364128183.03709567</c:v>
                </c:pt>
                <c:pt idx="5">
                  <c:v>358320971.65319103</c:v>
                </c:pt>
                <c:pt idx="6">
                  <c:v>349443369.27674747</c:v>
                </c:pt>
                <c:pt idx="7">
                  <c:v>338141682.04542255</c:v>
                </c:pt>
                <c:pt idx="8">
                  <c:v>324399480.2101782</c:v>
                </c:pt>
                <c:pt idx="9">
                  <c:v>308460017.15959609</c:v>
                </c:pt>
                <c:pt idx="10">
                  <c:v>290123959.77182484</c:v>
                </c:pt>
                <c:pt idx="11">
                  <c:v>269176021.31487602</c:v>
                </c:pt>
                <c:pt idx="12">
                  <c:v>245383737.12159413</c:v>
                </c:pt>
                <c:pt idx="13">
                  <c:v>218496147.76943845</c:v>
                </c:pt>
                <c:pt idx="14">
                  <c:v>188242382.81939441</c:v>
                </c:pt>
                <c:pt idx="15">
                  <c:v>154330137.64796644</c:v>
                </c:pt>
                <c:pt idx="16">
                  <c:v>116444035.34689276</c:v>
                </c:pt>
                <c:pt idx="17">
                  <c:v>74243865.064043686</c:v>
                </c:pt>
                <c:pt idx="18">
                  <c:v>72777510.419548526</c:v>
                </c:pt>
                <c:pt idx="19">
                  <c:v>71002999.901256323</c:v>
                </c:pt>
                <c:pt idx="20">
                  <c:v>68892187.043567359</c:v>
                </c:pt>
                <c:pt idx="21">
                  <c:v>66414727.854528815</c:v>
                </c:pt>
                <c:pt idx="22">
                  <c:v>63537917.975731321</c:v>
                </c:pt>
                <c:pt idx="23">
                  <c:v>60226518.012425862</c:v>
                </c:pt>
                <c:pt idx="24">
                  <c:v>56442566.181100264</c:v>
                </c:pt>
                <c:pt idx="25">
                  <c:v>52145177.360461786</c:v>
                </c:pt>
                <c:pt idx="26">
                  <c:v>45173118.879206084</c:v>
                </c:pt>
                <c:pt idx="27">
                  <c:v>36102738.927437723</c:v>
                </c:pt>
                <c:pt idx="28">
                  <c:v>26556658.014916226</c:v>
                </c:pt>
                <c:pt idx="29">
                  <c:v>16961770.902150847</c:v>
                </c:pt>
                <c:pt idx="30">
                  <c:v>8268185.1140930634</c:v>
                </c:pt>
              </c:numCache>
            </c:numRef>
          </c:val>
          <c:smooth val="0"/>
          <c:extLst>
            <c:ext xmlns:c16="http://schemas.microsoft.com/office/drawing/2014/chart" uri="{C3380CC4-5D6E-409C-BE32-E72D297353CC}">
              <c16:uniqueId val="{00000000-1829-4312-81E3-35AA3F8F634F}"/>
            </c:ext>
          </c:extLst>
        </c:ser>
        <c:ser>
          <c:idx val="1"/>
          <c:order val="1"/>
          <c:tx>
            <c:v>Alt 1</c:v>
          </c:tx>
          <c:marker>
            <c:symbol val="none"/>
          </c:marker>
          <c:val>
            <c:numRef>
              <c:f>BalComp!$Q$10:$Q$40</c:f>
              <c:numCache>
                <c:formatCode>_(* #,##0_);_(* \(#,##0\);_(* "-"??_);_(@_)</c:formatCode>
                <c:ptCount val="31"/>
                <c:pt idx="0">
                  <c:v>312494099.52600002</c:v>
                </c:pt>
                <c:pt idx="1">
                  <c:v>369997192.79647946</c:v>
                </c:pt>
                <c:pt idx="2">
                  <c:v>362266050.5993067</c:v>
                </c:pt>
                <c:pt idx="3">
                  <c:v>353949154.10671079</c:v>
                </c:pt>
                <c:pt idx="4">
                  <c:v>345034828.78475273</c:v>
                </c:pt>
                <c:pt idx="5">
                  <c:v>335512512.81073916</c:v>
                </c:pt>
                <c:pt idx="6">
                  <c:v>324234830.12538731</c:v>
                </c:pt>
                <c:pt idx="7">
                  <c:v>311040348.77309704</c:v>
                </c:pt>
                <c:pt idx="8">
                  <c:v>295754737.96170127</c:v>
                </c:pt>
                <c:pt idx="9">
                  <c:v>278189784.04258317</c:v>
                </c:pt>
                <c:pt idx="10">
                  <c:v>258142332.69061267</c:v>
                </c:pt>
                <c:pt idx="11">
                  <c:v>235393151.78389299</c:v>
                </c:pt>
                <c:pt idx="12">
                  <c:v>209705709.07430869</c:v>
                </c:pt>
                <c:pt idx="13">
                  <c:v>180824858.30046162</c:v>
                </c:pt>
                <c:pt idx="14">
                  <c:v>148475426.92252389</c:v>
                </c:pt>
                <c:pt idx="15">
                  <c:v>112360698.15138775</c:v>
                </c:pt>
                <c:pt idx="16">
                  <c:v>72160779.399654001</c:v>
                </c:pt>
                <c:pt idx="17">
                  <c:v>27530848.696661256</c:v>
                </c:pt>
                <c:pt idx="18">
                  <c:v>-21900730.019085351</c:v>
                </c:pt>
                <c:pt idx="19">
                  <c:v>-31119609.585545905</c:v>
                </c:pt>
                <c:pt idx="20">
                  <c:v>-41203548.897495806</c:v>
                </c:pt>
                <c:pt idx="21">
                  <c:v>-52218881.531535693</c:v>
                </c:pt>
                <c:pt idx="22">
                  <c:v>-47003683.588050626</c:v>
                </c:pt>
                <c:pt idx="23">
                  <c:v>-41123397.377053678</c:v>
                </c:pt>
                <c:pt idx="24">
                  <c:v>-34519922.825828925</c:v>
                </c:pt>
                <c:pt idx="25">
                  <c:v>-27130555.802627213</c:v>
                </c:pt>
                <c:pt idx="26">
                  <c:v>-18887635.415631205</c:v>
                </c:pt>
                <c:pt idx="27">
                  <c:v>-11835373.324316468</c:v>
                </c:pt>
                <c:pt idx="28">
                  <c:v>-6180851.4812064385</c:v>
                </c:pt>
                <c:pt idx="29">
                  <c:v>-2152121.9504924035</c:v>
                </c:pt>
                <c:pt idx="30">
                  <c:v>0</c:v>
                </c:pt>
              </c:numCache>
            </c:numRef>
          </c:val>
          <c:smooth val="0"/>
          <c:extLst>
            <c:ext xmlns:c16="http://schemas.microsoft.com/office/drawing/2014/chart" uri="{C3380CC4-5D6E-409C-BE32-E72D297353CC}">
              <c16:uniqueId val="{00000001-1829-4312-81E3-35AA3F8F634F}"/>
            </c:ext>
          </c:extLst>
        </c:ser>
        <c:ser>
          <c:idx val="2"/>
          <c:order val="2"/>
          <c:tx>
            <c:v>Alt 2</c:v>
          </c:tx>
          <c:marker>
            <c:symbol val="none"/>
          </c:marker>
          <c:val>
            <c:numRef>
              <c:f>BalComp!$U$10:$U$40</c:f>
              <c:numCache>
                <c:formatCode>_(* #,##0_);_(* \(#,##0\);_(* "-"??_);_(@_)</c:formatCode>
                <c:ptCount val="31"/>
                <c:pt idx="0">
                  <c:v>312494099.52600002</c:v>
                </c:pt>
                <c:pt idx="1">
                  <c:v>434279649.85544449</c:v>
                </c:pt>
                <c:pt idx="2">
                  <c:v>425936851.41765678</c:v>
                </c:pt>
                <c:pt idx="3">
                  <c:v>416841823.48945093</c:v>
                </c:pt>
                <c:pt idx="4">
                  <c:v>406969457.92877197</c:v>
                </c:pt>
                <c:pt idx="5">
                  <c:v>396294890.95507085</c:v>
                </c:pt>
                <c:pt idx="6">
                  <c:v>383655525.72892904</c:v>
                </c:pt>
                <c:pt idx="7">
                  <c:v>368873737.52594012</c:v>
                </c:pt>
                <c:pt idx="8">
                  <c:v>351757974.80726939</c:v>
                </c:pt>
                <c:pt idx="9">
                  <c:v>332101716.25383109</c:v>
                </c:pt>
                <c:pt idx="10">
                  <c:v>309682350.90449971</c:v>
                </c:pt>
                <c:pt idx="11">
                  <c:v>284259975.75416148</c:v>
                </c:pt>
                <c:pt idx="12">
                  <c:v>255576104.75319266</c:v>
                </c:pt>
                <c:pt idx="13">
                  <c:v>223352282.70529497</c:v>
                </c:pt>
                <c:pt idx="14">
                  <c:v>187288597.08327836</c:v>
                </c:pt>
                <c:pt idx="15">
                  <c:v>147062080.26994759</c:v>
                </c:pt>
                <c:pt idx="16">
                  <c:v>102324994.18114457</c:v>
                </c:pt>
                <c:pt idx="17">
                  <c:v>52702988.637443461</c:v>
                </c:pt>
                <c:pt idx="18">
                  <c:v>-2206875.7829930894</c:v>
                </c:pt>
                <c:pt idx="19">
                  <c:v>-17423427.451734319</c:v>
                </c:pt>
                <c:pt idx="20">
                  <c:v>-34059574.764995888</c:v>
                </c:pt>
                <c:pt idx="21">
                  <c:v>-52218881.531535693</c:v>
                </c:pt>
                <c:pt idx="22">
                  <c:v>-47003683.588050626</c:v>
                </c:pt>
                <c:pt idx="23">
                  <c:v>-41123397.377053678</c:v>
                </c:pt>
                <c:pt idx="24">
                  <c:v>-34519922.825828925</c:v>
                </c:pt>
                <c:pt idx="25">
                  <c:v>-27130555.802627213</c:v>
                </c:pt>
                <c:pt idx="26">
                  <c:v>-18887635.415631205</c:v>
                </c:pt>
                <c:pt idx="27">
                  <c:v>-11835373.324316468</c:v>
                </c:pt>
                <c:pt idx="28">
                  <c:v>-6180851.4812064385</c:v>
                </c:pt>
                <c:pt idx="29">
                  <c:v>-2152121.9504924035</c:v>
                </c:pt>
                <c:pt idx="30">
                  <c:v>0</c:v>
                </c:pt>
              </c:numCache>
            </c:numRef>
          </c:val>
          <c:smooth val="0"/>
          <c:extLst>
            <c:ext xmlns:c16="http://schemas.microsoft.com/office/drawing/2014/chart" uri="{C3380CC4-5D6E-409C-BE32-E72D297353CC}">
              <c16:uniqueId val="{00000002-1829-4312-81E3-35AA3F8F634F}"/>
            </c:ext>
          </c:extLst>
        </c:ser>
        <c:dLbls>
          <c:showLegendKey val="0"/>
          <c:showVal val="0"/>
          <c:showCatName val="0"/>
          <c:showSerName val="0"/>
          <c:showPercent val="0"/>
          <c:showBubbleSize val="0"/>
        </c:dLbls>
        <c:smooth val="0"/>
        <c:axId val="184088064"/>
        <c:axId val="184089600"/>
      </c:lineChart>
      <c:catAx>
        <c:axId val="184088064"/>
        <c:scaling>
          <c:orientation val="minMax"/>
        </c:scaling>
        <c:delete val="0"/>
        <c:axPos val="b"/>
        <c:majorTickMark val="none"/>
        <c:minorTickMark val="none"/>
        <c:tickLblPos val="nextTo"/>
        <c:crossAx val="184089600"/>
        <c:crosses val="autoZero"/>
        <c:auto val="1"/>
        <c:lblAlgn val="ctr"/>
        <c:lblOffset val="100"/>
        <c:noMultiLvlLbl val="0"/>
      </c:catAx>
      <c:valAx>
        <c:axId val="184089600"/>
        <c:scaling>
          <c:orientation val="minMax"/>
        </c:scaling>
        <c:delete val="0"/>
        <c:axPos val="l"/>
        <c:majorGridlines/>
        <c:numFmt formatCode="_(* #,##0_);_(* \(#,##0\);_(* &quot;-&quot;??_);_(@_)" sourceLinked="1"/>
        <c:majorTickMark val="none"/>
        <c:minorTickMark val="none"/>
        <c:tickLblPos val="nextTo"/>
        <c:spPr>
          <a:ln w="9525">
            <a:noFill/>
          </a:ln>
        </c:spPr>
        <c:crossAx val="18408806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54418197725286"/>
          <c:y val="5.1400554097404488E-2"/>
          <c:w val="0.75932567804024498"/>
          <c:h val="0.89719889180519097"/>
        </c:manualLayout>
      </c:layout>
      <c:lineChart>
        <c:grouping val="standard"/>
        <c:varyColors val="0"/>
        <c:ser>
          <c:idx val="0"/>
          <c:order val="0"/>
          <c:tx>
            <c:v>Default</c:v>
          </c:tx>
          <c:marker>
            <c:symbol val="none"/>
          </c:marker>
          <c:val>
            <c:numRef>
              <c:f>BalComp!$K$10:$K$41</c:f>
              <c:numCache>
                <c:formatCode>_(* #,##0_);_(* \(#,##0\);_(* "-"??_);_(@_)</c:formatCode>
                <c:ptCount val="32"/>
                <c:pt idx="0">
                  <c:v>340833056.52751446</c:v>
                </c:pt>
                <c:pt idx="1">
                  <c:v>367150583.68455803</c:v>
                </c:pt>
                <c:pt idx="2">
                  <c:v>367643095.24685591</c:v>
                </c:pt>
                <c:pt idx="3">
                  <c:v>366762627.61675411</c:v>
                </c:pt>
                <c:pt idx="4">
                  <c:v>364128183.03709567</c:v>
                </c:pt>
                <c:pt idx="5">
                  <c:v>358320971.65319103</c:v>
                </c:pt>
                <c:pt idx="6">
                  <c:v>349443369.27674747</c:v>
                </c:pt>
                <c:pt idx="7">
                  <c:v>338141682.04542255</c:v>
                </c:pt>
                <c:pt idx="8">
                  <c:v>324399480.2101782</c:v>
                </c:pt>
                <c:pt idx="9">
                  <c:v>308460017.15959609</c:v>
                </c:pt>
                <c:pt idx="10">
                  <c:v>290123959.77182484</c:v>
                </c:pt>
                <c:pt idx="11">
                  <c:v>269176021.31487602</c:v>
                </c:pt>
                <c:pt idx="12">
                  <c:v>245383737.12159413</c:v>
                </c:pt>
                <c:pt idx="13">
                  <c:v>218496147.76943845</c:v>
                </c:pt>
                <c:pt idx="14">
                  <c:v>188242382.81939441</c:v>
                </c:pt>
                <c:pt idx="15">
                  <c:v>154330137.64796644</c:v>
                </c:pt>
                <c:pt idx="16">
                  <c:v>116444035.34689276</c:v>
                </c:pt>
                <c:pt idx="17">
                  <c:v>74243865.064043686</c:v>
                </c:pt>
                <c:pt idx="18">
                  <c:v>72777510.419548526</c:v>
                </c:pt>
                <c:pt idx="19">
                  <c:v>71002999.901256323</c:v>
                </c:pt>
                <c:pt idx="20">
                  <c:v>68892187.043567359</c:v>
                </c:pt>
                <c:pt idx="21">
                  <c:v>66414727.854528815</c:v>
                </c:pt>
                <c:pt idx="22">
                  <c:v>63537917.975731321</c:v>
                </c:pt>
                <c:pt idx="23">
                  <c:v>60226518.012425862</c:v>
                </c:pt>
                <c:pt idx="24">
                  <c:v>56442566.181100264</c:v>
                </c:pt>
                <c:pt idx="25">
                  <c:v>52145177.360461786</c:v>
                </c:pt>
                <c:pt idx="26">
                  <c:v>45173118.879206084</c:v>
                </c:pt>
                <c:pt idx="27">
                  <c:v>36102738.927437723</c:v>
                </c:pt>
                <c:pt idx="28">
                  <c:v>26556658.014916226</c:v>
                </c:pt>
                <c:pt idx="29">
                  <c:v>16961770.902150847</c:v>
                </c:pt>
                <c:pt idx="30">
                  <c:v>8268185.1140930634</c:v>
                </c:pt>
              </c:numCache>
            </c:numRef>
          </c:val>
          <c:smooth val="0"/>
          <c:extLst>
            <c:ext xmlns:c16="http://schemas.microsoft.com/office/drawing/2014/chart" uri="{C3380CC4-5D6E-409C-BE32-E72D297353CC}">
              <c16:uniqueId val="{00000000-D813-4A36-998A-6FC160CE993F}"/>
            </c:ext>
          </c:extLst>
        </c:ser>
        <c:ser>
          <c:idx val="1"/>
          <c:order val="1"/>
          <c:tx>
            <c:v>Alt - 1</c:v>
          </c:tx>
          <c:marker>
            <c:symbol val="none"/>
          </c:marker>
          <c:val>
            <c:numRef>
              <c:f>BalComp!$Q$10:$Q$41</c:f>
              <c:numCache>
                <c:formatCode>_(* #,##0_);_(* \(#,##0\);_(* "-"??_);_(@_)</c:formatCode>
                <c:ptCount val="32"/>
                <c:pt idx="0">
                  <c:v>312494099.52600002</c:v>
                </c:pt>
                <c:pt idx="1">
                  <c:v>369997192.79647946</c:v>
                </c:pt>
                <c:pt idx="2">
                  <c:v>362266050.5993067</c:v>
                </c:pt>
                <c:pt idx="3">
                  <c:v>353949154.10671079</c:v>
                </c:pt>
                <c:pt idx="4">
                  <c:v>345034828.78475273</c:v>
                </c:pt>
                <c:pt idx="5">
                  <c:v>335512512.81073916</c:v>
                </c:pt>
                <c:pt idx="6">
                  <c:v>324234830.12538731</c:v>
                </c:pt>
                <c:pt idx="7">
                  <c:v>311040348.77309704</c:v>
                </c:pt>
                <c:pt idx="8">
                  <c:v>295754737.96170127</c:v>
                </c:pt>
                <c:pt idx="9">
                  <c:v>278189784.04258317</c:v>
                </c:pt>
                <c:pt idx="10">
                  <c:v>258142332.69061267</c:v>
                </c:pt>
                <c:pt idx="11">
                  <c:v>235393151.78389299</c:v>
                </c:pt>
                <c:pt idx="12">
                  <c:v>209705709.07430869</c:v>
                </c:pt>
                <c:pt idx="13">
                  <c:v>180824858.30046162</c:v>
                </c:pt>
                <c:pt idx="14">
                  <c:v>148475426.92252389</c:v>
                </c:pt>
                <c:pt idx="15">
                  <c:v>112360698.15138775</c:v>
                </c:pt>
                <c:pt idx="16">
                  <c:v>72160779.399654001</c:v>
                </c:pt>
                <c:pt idx="17">
                  <c:v>27530848.696661256</c:v>
                </c:pt>
                <c:pt idx="18">
                  <c:v>-21900730.019085351</c:v>
                </c:pt>
                <c:pt idx="19">
                  <c:v>-31119609.585545905</c:v>
                </c:pt>
                <c:pt idx="20">
                  <c:v>-41203548.897495806</c:v>
                </c:pt>
                <c:pt idx="21">
                  <c:v>-52218881.531535693</c:v>
                </c:pt>
                <c:pt idx="22">
                  <c:v>-47003683.588050626</c:v>
                </c:pt>
                <c:pt idx="23">
                  <c:v>-41123397.377053678</c:v>
                </c:pt>
                <c:pt idx="24">
                  <c:v>-34519922.825828925</c:v>
                </c:pt>
                <c:pt idx="25">
                  <c:v>-27130555.802627213</c:v>
                </c:pt>
                <c:pt idx="26">
                  <c:v>-18887635.415631205</c:v>
                </c:pt>
                <c:pt idx="27">
                  <c:v>-11835373.324316468</c:v>
                </c:pt>
                <c:pt idx="28">
                  <c:v>-6180851.4812064385</c:v>
                </c:pt>
                <c:pt idx="29">
                  <c:v>-2152121.9504924035</c:v>
                </c:pt>
                <c:pt idx="30">
                  <c:v>0</c:v>
                </c:pt>
              </c:numCache>
            </c:numRef>
          </c:val>
          <c:smooth val="0"/>
          <c:extLst>
            <c:ext xmlns:c16="http://schemas.microsoft.com/office/drawing/2014/chart" uri="{C3380CC4-5D6E-409C-BE32-E72D297353CC}">
              <c16:uniqueId val="{00000001-D813-4A36-998A-6FC160CE993F}"/>
            </c:ext>
          </c:extLst>
        </c:ser>
        <c:ser>
          <c:idx val="2"/>
          <c:order val="2"/>
          <c:tx>
            <c:v>Alt - 2</c:v>
          </c:tx>
          <c:marker>
            <c:symbol val="none"/>
          </c:marker>
          <c:val>
            <c:numRef>
              <c:f>BalComp!$U$10:$U$41</c:f>
              <c:numCache>
                <c:formatCode>_(* #,##0_);_(* \(#,##0\);_(* "-"??_);_(@_)</c:formatCode>
                <c:ptCount val="32"/>
                <c:pt idx="0">
                  <c:v>312494099.52600002</c:v>
                </c:pt>
                <c:pt idx="1">
                  <c:v>434279649.85544449</c:v>
                </c:pt>
                <c:pt idx="2">
                  <c:v>425936851.41765678</c:v>
                </c:pt>
                <c:pt idx="3">
                  <c:v>416841823.48945093</c:v>
                </c:pt>
                <c:pt idx="4">
                  <c:v>406969457.92877197</c:v>
                </c:pt>
                <c:pt idx="5">
                  <c:v>396294890.95507085</c:v>
                </c:pt>
                <c:pt idx="6">
                  <c:v>383655525.72892904</c:v>
                </c:pt>
                <c:pt idx="7">
                  <c:v>368873737.52594012</c:v>
                </c:pt>
                <c:pt idx="8">
                  <c:v>351757974.80726939</c:v>
                </c:pt>
                <c:pt idx="9">
                  <c:v>332101716.25383109</c:v>
                </c:pt>
                <c:pt idx="10">
                  <c:v>309682350.90449971</c:v>
                </c:pt>
                <c:pt idx="11">
                  <c:v>284259975.75416148</c:v>
                </c:pt>
                <c:pt idx="12">
                  <c:v>255576104.75319266</c:v>
                </c:pt>
                <c:pt idx="13">
                  <c:v>223352282.70529497</c:v>
                </c:pt>
                <c:pt idx="14">
                  <c:v>187288597.08327836</c:v>
                </c:pt>
                <c:pt idx="15">
                  <c:v>147062080.26994759</c:v>
                </c:pt>
                <c:pt idx="16">
                  <c:v>102324994.18114457</c:v>
                </c:pt>
                <c:pt idx="17">
                  <c:v>52702988.637443461</c:v>
                </c:pt>
                <c:pt idx="18">
                  <c:v>-2206875.7829930894</c:v>
                </c:pt>
                <c:pt idx="19">
                  <c:v>-17423427.451734319</c:v>
                </c:pt>
                <c:pt idx="20">
                  <c:v>-34059574.764995888</c:v>
                </c:pt>
                <c:pt idx="21">
                  <c:v>-52218881.531535693</c:v>
                </c:pt>
                <c:pt idx="22">
                  <c:v>-47003683.588050626</c:v>
                </c:pt>
                <c:pt idx="23">
                  <c:v>-41123397.377053678</c:v>
                </c:pt>
                <c:pt idx="24">
                  <c:v>-34519922.825828925</c:v>
                </c:pt>
                <c:pt idx="25">
                  <c:v>-27130555.802627213</c:v>
                </c:pt>
                <c:pt idx="26">
                  <c:v>-18887635.415631205</c:v>
                </c:pt>
                <c:pt idx="27">
                  <c:v>-11835373.324316468</c:v>
                </c:pt>
                <c:pt idx="28">
                  <c:v>-6180851.4812064385</c:v>
                </c:pt>
                <c:pt idx="29">
                  <c:v>-2152121.9504924035</c:v>
                </c:pt>
                <c:pt idx="30">
                  <c:v>0</c:v>
                </c:pt>
              </c:numCache>
            </c:numRef>
          </c:val>
          <c:smooth val="0"/>
          <c:extLst>
            <c:ext xmlns:c16="http://schemas.microsoft.com/office/drawing/2014/chart" uri="{C3380CC4-5D6E-409C-BE32-E72D297353CC}">
              <c16:uniqueId val="{00000002-D813-4A36-998A-6FC160CE993F}"/>
            </c:ext>
          </c:extLst>
        </c:ser>
        <c:dLbls>
          <c:showLegendKey val="0"/>
          <c:showVal val="0"/>
          <c:showCatName val="0"/>
          <c:showSerName val="0"/>
          <c:showPercent val="0"/>
          <c:showBubbleSize val="0"/>
        </c:dLbls>
        <c:smooth val="0"/>
        <c:axId val="184177408"/>
        <c:axId val="184178944"/>
      </c:lineChart>
      <c:catAx>
        <c:axId val="184177408"/>
        <c:scaling>
          <c:orientation val="minMax"/>
        </c:scaling>
        <c:delete val="0"/>
        <c:axPos val="b"/>
        <c:majorTickMark val="out"/>
        <c:minorTickMark val="none"/>
        <c:tickLblPos val="nextTo"/>
        <c:crossAx val="184178944"/>
        <c:crosses val="autoZero"/>
        <c:auto val="1"/>
        <c:lblAlgn val="ctr"/>
        <c:lblOffset val="100"/>
        <c:noMultiLvlLbl val="0"/>
      </c:catAx>
      <c:valAx>
        <c:axId val="184178944"/>
        <c:scaling>
          <c:orientation val="minMax"/>
        </c:scaling>
        <c:delete val="0"/>
        <c:axPos val="l"/>
        <c:majorGridlines/>
        <c:numFmt formatCode="_(* #,##0_);_(* \(#,##0\);_(* &quot;-&quot;??_);_(@_)" sourceLinked="1"/>
        <c:majorTickMark val="out"/>
        <c:minorTickMark val="none"/>
        <c:tickLblPos val="nextTo"/>
        <c:crossAx val="184177408"/>
        <c:crosses val="autoZero"/>
        <c:crossBetween val="between"/>
      </c:valAx>
    </c:plotArea>
    <c:legend>
      <c:legendPos val="r"/>
      <c:layout>
        <c:manualLayout>
          <c:xMode val="edge"/>
          <c:yMode val="edge"/>
          <c:x val="0.20951266226856777"/>
          <c:y val="0.36053514144065324"/>
          <c:w val="0.24882078929323023"/>
          <c:h val="0.25115157480314959"/>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aseline="0">
                <a:latin typeface="+mn-lt"/>
              </a:defRPr>
            </a:pPr>
            <a:r>
              <a:rPr lang="en-US" sz="2000" baseline="0">
                <a:latin typeface="+mn-lt"/>
              </a:rPr>
              <a:t>Unfunded Liability - Payment Options</a:t>
            </a:r>
          </a:p>
        </c:rich>
      </c:tx>
      <c:layout>
        <c:manualLayout>
          <c:xMode val="edge"/>
          <c:yMode val="edge"/>
          <c:x val="0.23122937764471671"/>
          <c:y val="1.7602472028602729E-2"/>
        </c:manualLayout>
      </c:layout>
      <c:overlay val="0"/>
    </c:title>
    <c:autoTitleDeleted val="0"/>
    <c:plotArea>
      <c:layout>
        <c:manualLayout>
          <c:layoutTarget val="inner"/>
          <c:xMode val="edge"/>
          <c:yMode val="edge"/>
          <c:x val="6.6731662892684049E-2"/>
          <c:y val="0.18190272829383078"/>
          <c:w val="0.91195051090299228"/>
          <c:h val="0.57080757726029896"/>
        </c:manualLayout>
      </c:layout>
      <c:lineChart>
        <c:grouping val="standard"/>
        <c:varyColors val="0"/>
        <c:ser>
          <c:idx val="0"/>
          <c:order val="0"/>
          <c:tx>
            <c:strRef>
              <c:f>'Analysis Results'!$D$4</c:f>
              <c:strCache>
                <c:ptCount val="1"/>
                <c:pt idx="0">
                  <c:v>Default UL Payment  Including Known Losses Phased In</c:v>
                </c:pt>
              </c:strCache>
            </c:strRef>
          </c:tx>
          <c:spPr>
            <a:ln>
              <a:solidFill>
                <a:schemeClr val="accent2"/>
              </a:solidFill>
            </a:ln>
          </c:spPr>
          <c:marker>
            <c:symbol val="none"/>
          </c:marker>
          <c:cat>
            <c:numRef>
              <c:f>'Analysis Results'!$C$5:$C$35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Results'!$D$5:$D$35</c:f>
              <c:numCache>
                <c:formatCode>_(* #,##0_);_(* \(#,##0\);_(* "-"??_);_(@_)</c:formatCode>
                <c:ptCount val="31"/>
                <c:pt idx="0">
                  <c:v>25045775.982986491</c:v>
                </c:pt>
                <c:pt idx="1">
                  <c:v>26802189.242117766</c:v>
                </c:pt>
                <c:pt idx="2">
                  <c:v>28628586.436755985</c:v>
                </c:pt>
                <c:pt idx="3">
                  <c:v>30491471.021183539</c:v>
                </c:pt>
                <c:pt idx="4">
                  <c:v>33518716.707046639</c:v>
                </c:pt>
                <c:pt idx="5">
                  <c:v>36254845.861836992</c:v>
                </c:pt>
                <c:pt idx="6">
                  <c:v>37280769.161154374</c:v>
                </c:pt>
                <c:pt idx="7">
                  <c:v>38334754.006433606</c:v>
                </c:pt>
                <c:pt idx="8">
                  <c:v>39417537.193284698</c:v>
                </c:pt>
                <c:pt idx="9">
                  <c:v>40529874.26499857</c:v>
                </c:pt>
                <c:pt idx="10">
                  <c:v>41672539.99654571</c:v>
                </c:pt>
                <c:pt idx="11">
                  <c:v>42846328.892067149</c:v>
                </c:pt>
                <c:pt idx="12">
                  <c:v>44052055.69624573</c:v>
                </c:pt>
                <c:pt idx="13">
                  <c:v>45290555.919955045</c:v>
                </c:pt>
                <c:pt idx="14">
                  <c:v>46562686.380593009</c:v>
                </c:pt>
                <c:pt idx="15">
                  <c:v>47869325.757515691</c:v>
                </c:pt>
                <c:pt idx="16">
                  <c:v>49211375.162997618</c:v>
                </c:pt>
                <c:pt idx="17">
                  <c:v>6749709.9134872789</c:v>
                </c:pt>
                <c:pt idx="18">
                  <c:v>5324649.8295193911</c:v>
                </c:pt>
                <c:pt idx="19">
                  <c:v>3808011.4015912903</c:v>
                </c:pt>
                <c:pt idx="20">
                  <c:v>2195582.483140938</c:v>
                </c:pt>
                <c:pt idx="21">
                  <c:v>482980.61932212953</c:v>
                </c:pt>
                <c:pt idx="22">
                  <c:v>497470.03790179268</c:v>
                </c:pt>
                <c:pt idx="23">
                  <c:v>512394.13903884869</c:v>
                </c:pt>
                <c:pt idx="24">
                  <c:v>527765.9632100137</c:v>
                </c:pt>
                <c:pt idx="25">
                  <c:v>2468348.9959005918</c:v>
                </c:pt>
                <c:pt idx="26">
                  <c:v>3698008.0249103205</c:v>
                </c:pt>
                <c:pt idx="27">
                  <c:v>3693607.4421215127</c:v>
                </c:pt>
                <c:pt idx="28">
                  <c:v>3685614.6171429558</c:v>
                </c:pt>
                <c:pt idx="29">
                  <c:v>3673817.9759677779</c:v>
                </c:pt>
                <c:pt idx="30">
                  <c:v>1426683.6462954208</c:v>
                </c:pt>
              </c:numCache>
            </c:numRef>
          </c:val>
          <c:smooth val="0"/>
          <c:extLst>
            <c:ext xmlns:c16="http://schemas.microsoft.com/office/drawing/2014/chart" uri="{C3380CC4-5D6E-409C-BE32-E72D297353CC}">
              <c16:uniqueId val="{00000000-44BB-4122-ADC9-09FE02BC4059}"/>
            </c:ext>
          </c:extLst>
        </c:ser>
        <c:ser>
          <c:idx val="4"/>
          <c:order val="1"/>
          <c:tx>
            <c:strRef>
              <c:f>'Analysis Results'!$E$4</c:f>
              <c:strCache>
                <c:ptCount val="1"/>
                <c:pt idx="0">
                  <c:v>Alt 1 - 20 Yr Level % of Pay at 7% </c:v>
                </c:pt>
              </c:strCache>
            </c:strRef>
          </c:tx>
          <c:spPr>
            <a:ln>
              <a:solidFill>
                <a:schemeClr val="accent3"/>
              </a:solidFill>
            </a:ln>
          </c:spPr>
          <c:marker>
            <c:symbol val="none"/>
          </c:marker>
          <c:cat>
            <c:numRef>
              <c:f>'Analysis Results'!$C$5:$C$35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Results'!$E$5:$E$35</c:f>
              <c:numCache>
                <c:formatCode>_(* #,##0_);_(* \(#,##0\);_(* "-"??_);_(@_)</c:formatCode>
                <c:ptCount val="31"/>
                <c:pt idx="0">
                  <c:v>30470113.894000754</c:v>
                </c:pt>
                <c:pt idx="1">
                  <c:v>31384217.310820784</c:v>
                </c:pt>
                <c:pt idx="2">
                  <c:v>32325743.8301454</c:v>
                </c:pt>
                <c:pt idx="3">
                  <c:v>33295516.145049766</c:v>
                </c:pt>
                <c:pt idx="4">
                  <c:v>34294381.629401267</c:v>
                </c:pt>
                <c:pt idx="5">
                  <c:v>35323213.078283295</c:v>
                </c:pt>
                <c:pt idx="6">
                  <c:v>36382909.470631793</c:v>
                </c:pt>
                <c:pt idx="7">
                  <c:v>37474396.754750766</c:v>
                </c:pt>
                <c:pt idx="8">
                  <c:v>38598628.657393269</c:v>
                </c:pt>
                <c:pt idx="9">
                  <c:v>39756587.517115071</c:v>
                </c:pt>
                <c:pt idx="10">
                  <c:v>40949285.142628521</c:v>
                </c:pt>
                <c:pt idx="11">
                  <c:v>42177763.696907379</c:v>
                </c:pt>
                <c:pt idx="12">
                  <c:v>43443096.60781461</c:v>
                </c:pt>
                <c:pt idx="13">
                  <c:v>44746389.506049052</c:v>
                </c:pt>
                <c:pt idx="14">
                  <c:v>46088781.191230521</c:v>
                </c:pt>
                <c:pt idx="15">
                  <c:v>47471444.626967445</c:v>
                </c:pt>
                <c:pt idx="16">
                  <c:v>48895587.965776488</c:v>
                </c:pt>
                <c:pt idx="17">
                  <c:v>6560510.8708915673</c:v>
                </c:pt>
                <c:pt idx="18">
                  <c:v>6757326.1970183151</c:v>
                </c:pt>
                <c:pt idx="19">
                  <c:v>6960045.9829288591</c:v>
                </c:pt>
              </c:numCache>
            </c:numRef>
          </c:val>
          <c:smooth val="0"/>
          <c:extLst>
            <c:ext xmlns:c16="http://schemas.microsoft.com/office/drawing/2014/chart" uri="{C3380CC4-5D6E-409C-BE32-E72D297353CC}">
              <c16:uniqueId val="{00000004-44BB-4122-ADC9-09FE02BC4059}"/>
            </c:ext>
          </c:extLst>
        </c:ser>
        <c:ser>
          <c:idx val="7"/>
          <c:order val="2"/>
          <c:tx>
            <c:strRef>
              <c:f>'Analysis Results'!$F$4</c:f>
              <c:strCache>
                <c:ptCount val="1"/>
                <c:pt idx="0">
                  <c:v>Alt 2 - 20 Yr Level $ Payment at 7% </c:v>
                </c:pt>
              </c:strCache>
            </c:strRef>
          </c:tx>
          <c:spPr>
            <a:ln>
              <a:solidFill>
                <a:schemeClr val="accent4"/>
              </a:solidFill>
            </a:ln>
          </c:spPr>
          <c:marker>
            <c:symbol val="none"/>
          </c:marker>
          <c:val>
            <c:numRef>
              <c:f>'Analysis Results'!$F$5:$F$24</c:f>
              <c:numCache>
                <c:formatCode>_(* #,##0_);_(* \(#,##0\);_(* "-"??_);_(@_)</c:formatCode>
                <c:ptCount val="20"/>
                <c:pt idx="0">
                  <c:v>35180811.315084897</c:v>
                </c:pt>
                <c:pt idx="1">
                  <c:v>34836144.162651092</c:v>
                </c:pt>
                <c:pt idx="2">
                  <c:v>34504957.093071431</c:v>
                </c:pt>
                <c:pt idx="3">
                  <c:v>33871715.905824848</c:v>
                </c:pt>
                <c:pt idx="4">
                  <c:v>33871715.90582484</c:v>
                </c:pt>
                <c:pt idx="5">
                  <c:v>33871715.90582484</c:v>
                </c:pt>
                <c:pt idx="6">
                  <c:v>33871715.905824833</c:v>
                </c:pt>
                <c:pt idx="7">
                  <c:v>33871715.905824833</c:v>
                </c:pt>
                <c:pt idx="8">
                  <c:v>33871715.905824825</c:v>
                </c:pt>
                <c:pt idx="9">
                  <c:v>33871715.905824833</c:v>
                </c:pt>
                <c:pt idx="10">
                  <c:v>33871715.905824825</c:v>
                </c:pt>
                <c:pt idx="11">
                  <c:v>33871715.905824833</c:v>
                </c:pt>
                <c:pt idx="12">
                  <c:v>33871715.905824825</c:v>
                </c:pt>
                <c:pt idx="13">
                  <c:v>33871715.905824825</c:v>
                </c:pt>
                <c:pt idx="14">
                  <c:v>33871715.905824825</c:v>
                </c:pt>
                <c:pt idx="15">
                  <c:v>33871715.905824825</c:v>
                </c:pt>
                <c:pt idx="16">
                  <c:v>33871715.905824818</c:v>
                </c:pt>
                <c:pt idx="17">
                  <c:v>33871715.905824825</c:v>
                </c:pt>
                <c:pt idx="18">
                  <c:v>33871715.905824825</c:v>
                </c:pt>
                <c:pt idx="19">
                  <c:v>33871715.905824803</c:v>
                </c:pt>
              </c:numCache>
            </c:numRef>
          </c:val>
          <c:smooth val="0"/>
          <c:extLst>
            <c:ext xmlns:c16="http://schemas.microsoft.com/office/drawing/2014/chart" uri="{C3380CC4-5D6E-409C-BE32-E72D297353CC}">
              <c16:uniqueId val="{00000001-2262-4112-B231-BA1403F90040}"/>
            </c:ext>
          </c:extLst>
        </c:ser>
        <c:ser>
          <c:idx val="5"/>
          <c:order val="3"/>
          <c:tx>
            <c:strRef>
              <c:f>'Analysis Results'!$G$4</c:f>
              <c:strCache>
                <c:ptCount val="1"/>
                <c:pt idx="0">
                  <c:v>Hedge 1 -  20 Yr Level % of Pay at 6.5%</c:v>
                </c:pt>
              </c:strCache>
            </c:strRef>
          </c:tx>
          <c:spPr>
            <a:ln>
              <a:solidFill>
                <a:schemeClr val="accent5"/>
              </a:solidFill>
            </a:ln>
          </c:spPr>
          <c:marker>
            <c:symbol val="none"/>
          </c:marker>
          <c:cat>
            <c:numRef>
              <c:f>'Analysis Results'!$C$5:$C$35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Results'!$G$5:$G$25</c:f>
              <c:numCache>
                <c:formatCode>_(* #,##0_);_(* \(#,##0\);_(* "-"??_);_(@_)</c:formatCode>
                <c:ptCount val="21"/>
                <c:pt idx="0">
                  <c:v>34662906.94296661</c:v>
                </c:pt>
                <c:pt idx="1">
                  <c:v>35702794.151255608</c:v>
                </c:pt>
                <c:pt idx="2">
                  <c:v>36773877.97579328</c:v>
                </c:pt>
                <c:pt idx="3">
                  <c:v>37877094.315067075</c:v>
                </c:pt>
                <c:pt idx="4">
                  <c:v>39013407.144519091</c:v>
                </c:pt>
                <c:pt idx="5">
                  <c:v>40183809.358854651</c:v>
                </c:pt>
                <c:pt idx="6">
                  <c:v>41389323.639620304</c:v>
                </c:pt>
                <c:pt idx="7">
                  <c:v>42631003.348808914</c:v>
                </c:pt>
                <c:pt idx="8">
                  <c:v>43909933.449273162</c:v>
                </c:pt>
                <c:pt idx="9">
                  <c:v>45227231.452751368</c:v>
                </c:pt>
                <c:pt idx="10">
                  <c:v>46584048.396333888</c:v>
                </c:pt>
                <c:pt idx="11">
                  <c:v>47981569.848223917</c:v>
                </c:pt>
                <c:pt idx="12">
                  <c:v>49421016.943670645</c:v>
                </c:pt>
                <c:pt idx="13">
                  <c:v>50903647.451980762</c:v>
                </c:pt>
                <c:pt idx="14">
                  <c:v>52430756.875540167</c:v>
                </c:pt>
                <c:pt idx="15">
                  <c:v>54003679.581806391</c:v>
                </c:pt>
                <c:pt idx="16">
                  <c:v>55623789.969260588</c:v>
                </c:pt>
                <c:pt idx="17">
                  <c:v>13490558.93448019</c:v>
                </c:pt>
                <c:pt idx="18">
                  <c:v>13895275.702514591</c:v>
                </c:pt>
                <c:pt idx="19">
                  <c:v>14312133.973590016</c:v>
                </c:pt>
              </c:numCache>
            </c:numRef>
          </c:val>
          <c:smooth val="0"/>
          <c:extLst>
            <c:ext xmlns:c16="http://schemas.microsoft.com/office/drawing/2014/chart" uri="{C3380CC4-5D6E-409C-BE32-E72D297353CC}">
              <c16:uniqueId val="{00000005-44BB-4122-ADC9-09FE02BC4059}"/>
            </c:ext>
          </c:extLst>
        </c:ser>
        <c:ser>
          <c:idx val="6"/>
          <c:order val="4"/>
          <c:tx>
            <c:strRef>
              <c:f>'Analysis Results'!$H$4</c:f>
              <c:strCache>
                <c:ptCount val="1"/>
                <c:pt idx="0">
                  <c:v>Hedge 2 -  20 Yr Level $ Payment at 6.5%</c:v>
                </c:pt>
              </c:strCache>
            </c:strRef>
          </c:tx>
          <c:spPr>
            <a:ln>
              <a:solidFill>
                <a:schemeClr val="accent6"/>
              </a:solidFill>
            </a:ln>
          </c:spPr>
          <c:marker>
            <c:symbol val="none"/>
          </c:marker>
          <c:val>
            <c:numRef>
              <c:f>'Analysis Results'!$H$5:$H$35</c:f>
              <c:numCache>
                <c:formatCode>_(* #,##0_);_(* \(#,##0\);_(* "-"??_);_(@_)</c:formatCode>
                <c:ptCount val="31"/>
                <c:pt idx="0">
                  <c:v>41268514.759295411</c:v>
                </c:pt>
                <c:pt idx="1">
                  <c:v>40864206.24748005</c:v>
                </c:pt>
                <c:pt idx="2">
                  <c:v>40475710.418130726</c:v>
                </c:pt>
                <c:pt idx="3">
                  <c:v>39732892.890472569</c:v>
                </c:pt>
                <c:pt idx="4">
                  <c:v>39732892.890472569</c:v>
                </c:pt>
                <c:pt idx="5">
                  <c:v>39732892.890472576</c:v>
                </c:pt>
                <c:pt idx="6">
                  <c:v>39732892.890472561</c:v>
                </c:pt>
                <c:pt idx="7">
                  <c:v>39732892.890472561</c:v>
                </c:pt>
                <c:pt idx="8">
                  <c:v>39732892.890472569</c:v>
                </c:pt>
                <c:pt idx="9">
                  <c:v>39732892.890472569</c:v>
                </c:pt>
                <c:pt idx="10">
                  <c:v>39732892.890472569</c:v>
                </c:pt>
                <c:pt idx="11">
                  <c:v>39732892.890472569</c:v>
                </c:pt>
                <c:pt idx="12">
                  <c:v>39732892.890472569</c:v>
                </c:pt>
                <c:pt idx="13">
                  <c:v>39732892.890472561</c:v>
                </c:pt>
                <c:pt idx="14">
                  <c:v>39732892.890472561</c:v>
                </c:pt>
                <c:pt idx="15">
                  <c:v>39732892.890472561</c:v>
                </c:pt>
                <c:pt idx="16">
                  <c:v>39732892.890472561</c:v>
                </c:pt>
                <c:pt idx="17">
                  <c:v>39732892.890472576</c:v>
                </c:pt>
                <c:pt idx="18">
                  <c:v>39732892.890472569</c:v>
                </c:pt>
                <c:pt idx="19">
                  <c:v>39732892.890472554</c:v>
                </c:pt>
              </c:numCache>
            </c:numRef>
          </c:val>
          <c:smooth val="0"/>
          <c:extLst>
            <c:ext xmlns:c16="http://schemas.microsoft.com/office/drawing/2014/chart" uri="{C3380CC4-5D6E-409C-BE32-E72D297353CC}">
              <c16:uniqueId val="{00000001-A12A-4694-A122-10BAAF7E2DE2}"/>
            </c:ext>
          </c:extLst>
        </c:ser>
        <c:dLbls>
          <c:showLegendKey val="0"/>
          <c:showVal val="0"/>
          <c:showCatName val="0"/>
          <c:showSerName val="0"/>
          <c:showPercent val="0"/>
          <c:showBubbleSize val="0"/>
        </c:dLbls>
        <c:smooth val="0"/>
        <c:axId val="163364224"/>
        <c:axId val="163370112"/>
        <c:extLst/>
      </c:lineChart>
      <c:catAx>
        <c:axId val="163364224"/>
        <c:scaling>
          <c:orientation val="minMax"/>
        </c:scaling>
        <c:delete val="0"/>
        <c:axPos val="b"/>
        <c:numFmt formatCode="General" sourceLinked="1"/>
        <c:majorTickMark val="out"/>
        <c:minorTickMark val="none"/>
        <c:tickLblPos val="nextTo"/>
        <c:txPr>
          <a:bodyPr rot="5400000" vert="horz"/>
          <a:lstStyle/>
          <a:p>
            <a:pPr>
              <a:defRPr sz="1100" baseline="0">
                <a:latin typeface="Calibri" panose="020F0502020204030204" pitchFamily="34" charset="0"/>
              </a:defRPr>
            </a:pPr>
            <a:endParaRPr lang="en-US"/>
          </a:p>
        </c:txPr>
        <c:crossAx val="163370112"/>
        <c:crosses val="autoZero"/>
        <c:auto val="1"/>
        <c:lblAlgn val="ctr"/>
        <c:lblOffset val="100"/>
        <c:tickLblSkip val="2"/>
        <c:tickMarkSkip val="1"/>
        <c:noMultiLvlLbl val="0"/>
      </c:catAx>
      <c:valAx>
        <c:axId val="163370112"/>
        <c:scaling>
          <c:orientation val="minMax"/>
        </c:scaling>
        <c:delete val="0"/>
        <c:axPos val="l"/>
        <c:majorGridlines/>
        <c:numFmt formatCode="&quot;$&quot;#,##0" sourceLinked="0"/>
        <c:majorTickMark val="none"/>
        <c:minorTickMark val="none"/>
        <c:tickLblPos val="low"/>
        <c:spPr>
          <a:ln w="9525">
            <a:noFill/>
          </a:ln>
        </c:spPr>
        <c:txPr>
          <a:bodyPr/>
          <a:lstStyle/>
          <a:p>
            <a:pPr>
              <a:defRPr sz="1100" baseline="0">
                <a:latin typeface="Calibri" panose="020F0502020204030204" pitchFamily="34" charset="0"/>
              </a:defRPr>
            </a:pPr>
            <a:endParaRPr lang="en-US"/>
          </a:p>
        </c:txPr>
        <c:crossAx val="163364224"/>
        <c:crossesAt val="2"/>
        <c:crossBetween val="midCat"/>
      </c:valAx>
    </c:plotArea>
    <c:legend>
      <c:legendPos val="b"/>
      <c:layout>
        <c:manualLayout>
          <c:xMode val="edge"/>
          <c:yMode val="edge"/>
          <c:x val="9.4893322993716667E-2"/>
          <c:y val="0.86801126421697283"/>
          <c:w val="0.80848510158493114"/>
          <c:h val="8.5998944570401067E-2"/>
        </c:manualLayout>
      </c:layout>
      <c:overlay val="0"/>
      <c:txPr>
        <a:bodyPr/>
        <a:lstStyle/>
        <a:p>
          <a:pPr>
            <a:defRPr sz="1200" baseline="0">
              <a:latin typeface="+mn-lt"/>
            </a:defRPr>
          </a:pPr>
          <a:endParaRPr lang="en-US"/>
        </a:p>
      </c:txPr>
    </c:legend>
    <c:plotVisOnly val="1"/>
    <c:dispBlanksAs val="gap"/>
    <c:showDLblsOverMax val="0"/>
  </c:chart>
  <c:spPr>
    <a:solidFill>
      <a:srgbClr val="FBFBFB"/>
    </a:solidFill>
    <a:ln>
      <a:noFill/>
    </a:ln>
    <a:effectLst>
      <a:outerShdw blurRad="50800" dist="38100" dir="5400000" algn="t" rotWithShape="0">
        <a:prstClr val="black">
          <a:alpha val="40000"/>
        </a:prstClr>
      </a:outerShdw>
    </a:effectLst>
  </c:spPr>
  <c:txPr>
    <a:bodyPr/>
    <a:lstStyle/>
    <a:p>
      <a:pPr>
        <a:defRPr baseline="0">
          <a:latin typeface="Arial" panose="020B0604020202020204" pitchFamily="34" charset="0"/>
        </a:defRPr>
      </a:pPr>
      <a:endParaRPr lang="en-US"/>
    </a:p>
  </c:txPr>
  <c:printSettings>
    <c:headerFooter/>
    <c:pageMargins b="0.75" l="0.7" r="0.7" t="0.75" header="0.3" footer="0.3"/>
    <c:pageSetup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Unfunded</a:t>
            </a:r>
            <a:r>
              <a:rPr lang="en-US" sz="2000" baseline="0"/>
              <a:t> Liability Balance</a:t>
            </a:r>
          </a:p>
        </c:rich>
      </c:tx>
      <c:layout/>
      <c:overlay val="0"/>
    </c:title>
    <c:autoTitleDeleted val="0"/>
    <c:plotArea>
      <c:layout>
        <c:manualLayout>
          <c:layoutTarget val="inner"/>
          <c:xMode val="edge"/>
          <c:yMode val="edge"/>
          <c:x val="6.6731662892684049E-2"/>
          <c:y val="0.18190272829383078"/>
          <c:w val="0.91195051090299228"/>
          <c:h val="0.63367351753324974"/>
        </c:manualLayout>
      </c:layout>
      <c:lineChart>
        <c:grouping val="standard"/>
        <c:varyColors val="0"/>
        <c:ser>
          <c:idx val="0"/>
          <c:order val="0"/>
          <c:tx>
            <c:strRef>
              <c:f>'Analysis Results'!$I$4</c:f>
              <c:strCache>
                <c:ptCount val="1"/>
                <c:pt idx="0">
                  <c:v>Default UL  Including Known Losses Phased In</c:v>
                </c:pt>
              </c:strCache>
            </c:strRef>
          </c:tx>
          <c:spPr>
            <a:ln>
              <a:solidFill>
                <a:schemeClr val="accent2"/>
              </a:solidFill>
            </a:ln>
          </c:spPr>
          <c:marker>
            <c:symbol val="none"/>
          </c:marker>
          <c:cat>
            <c:numRef>
              <c:f>'Analysis Results'!$C$5:$C$35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Results'!$I$5:$I$35</c:f>
              <c:numCache>
                <c:formatCode>_(* #,##0_);_(* \(#,##0\);_(* "-"??_);_(@_)</c:formatCode>
                <c:ptCount val="31"/>
                <c:pt idx="0">
                  <c:v>341111128.70063865</c:v>
                </c:pt>
                <c:pt idx="1">
                  <c:v>367205316.48542702</c:v>
                </c:pt>
                <c:pt idx="2">
                  <c:v>366452604.42382401</c:v>
                </c:pt>
                <c:pt idx="3">
                  <c:v>364251050.24551433</c:v>
                </c:pt>
                <c:pt idx="4">
                  <c:v>360370048.57055718</c:v>
                </c:pt>
                <c:pt idx="5">
                  <c:v>353047054.75703007</c:v>
                </c:pt>
                <c:pt idx="6">
                  <c:v>342337135.70698458</c:v>
                </c:pt>
                <c:pt idx="7">
                  <c:v>328888742.35388076</c:v>
                </c:pt>
                <c:pt idx="8">
                  <c:v>312725534.51631033</c:v>
                </c:pt>
                <c:pt idx="9">
                  <c:v>294255339.53603971</c:v>
                </c:pt>
                <c:pt idx="10">
                  <c:v>273281401.43525779</c:v>
                </c:pt>
                <c:pt idx="11">
                  <c:v>249592133.31137201</c:v>
                </c:pt>
                <c:pt idx="12">
                  <c:v>222960047.43208358</c:v>
                </c:pt>
                <c:pt idx="13">
                  <c:v>193140609.48491237</c:v>
                </c:pt>
                <c:pt idx="14">
                  <c:v>159871011.6434167</c:v>
                </c:pt>
                <c:pt idx="15">
                  <c:v>122868858.73785317</c:v>
                </c:pt>
                <c:pt idx="16">
                  <c:v>81830761.417282075</c:v>
                </c:pt>
                <c:pt idx="17">
                  <c:v>36430829.761304393</c:v>
                </c:pt>
                <c:pt idx="18">
                  <c:v>30451388.735848606</c:v>
                </c:pt>
                <c:pt idx="19">
                  <c:v>24648247.004398748</c:v>
                </c:pt>
                <c:pt idx="20">
                  <c:v>20005379.864066087</c:v>
                </c:pt>
                <c:pt idx="21">
                  <c:v>16516642.499801524</c:v>
                </c:pt>
                <c:pt idx="22">
                  <c:v>14947292.50750396</c:v>
                </c:pt>
                <c:pt idx="23">
                  <c:v>14464674.546735369</c:v>
                </c:pt>
                <c:pt idx="24">
                  <c:v>14947177.146256115</c:v>
                </c:pt>
                <c:pt idx="25">
                  <c:v>15447554.189180791</c:v>
                </c:pt>
                <c:pt idx="26">
                  <c:v>13975602.927444577</c:v>
                </c:pt>
                <c:pt idx="27">
                  <c:v>11128645.887288693</c:v>
                </c:pt>
                <c:pt idx="28">
                  <c:v>8086953.8525537541</c:v>
                </c:pt>
                <c:pt idx="29">
                  <c:v>4840611.2178338747</c:v>
                </c:pt>
                <c:pt idx="30">
                  <c:v>1379227.1391988057</c:v>
                </c:pt>
              </c:numCache>
            </c:numRef>
          </c:val>
          <c:smooth val="0"/>
          <c:extLst>
            <c:ext xmlns:c16="http://schemas.microsoft.com/office/drawing/2014/chart" uri="{C3380CC4-5D6E-409C-BE32-E72D297353CC}">
              <c16:uniqueId val="{00000000-71AC-458E-B054-B37706F4FB30}"/>
            </c:ext>
          </c:extLst>
        </c:ser>
        <c:ser>
          <c:idx val="6"/>
          <c:order val="6"/>
          <c:tx>
            <c:strRef>
              <c:f>'Analysis Results'!$J$4</c:f>
              <c:strCache>
                <c:ptCount val="1"/>
                <c:pt idx="0">
                  <c:v>Alt 1 - 20 Yr Level % of Pay at 7% </c:v>
                </c:pt>
              </c:strCache>
            </c:strRef>
          </c:tx>
          <c:spPr>
            <a:ln>
              <a:solidFill>
                <a:schemeClr val="accent3"/>
              </a:solidFill>
            </a:ln>
          </c:spPr>
          <c:marker>
            <c:symbol val="none"/>
          </c:marker>
          <c:cat>
            <c:numRef>
              <c:f>'Analysis Results'!$C$5:$C$35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Results'!$J$5:$J$35</c:f>
              <c:numCache>
                <c:formatCode>_(* #,##0_);_(* \(#,##0\);_(* "-"??_);_(@_)</c:formatCode>
                <c:ptCount val="31"/>
                <c:pt idx="0">
                  <c:v>371856729.09223366</c:v>
                </c:pt>
                <c:pt idx="1">
                  <c:v>367685784.02256763</c:v>
                </c:pt>
                <c:pt idx="2">
                  <c:v>362257195.01925772</c:v>
                </c:pt>
                <c:pt idx="3">
                  <c:v>355449482.90141702</c:v>
                </c:pt>
                <c:pt idx="4">
                  <c:v>347131326.08941782</c:v>
                </c:pt>
                <c:pt idx="5">
                  <c:v>337160806.30632949</c:v>
                </c:pt>
                <c:pt idx="6">
                  <c:v>325384597.6311633</c:v>
                </c:pt>
                <c:pt idx="7">
                  <c:v>311637094.68158257</c:v>
                </c:pt>
                <c:pt idx="8">
                  <c:v>295739475.38983941</c:v>
                </c:pt>
                <c:pt idx="9">
                  <c:v>277498693.49849856</c:v>
                </c:pt>
                <c:pt idx="10">
                  <c:v>256706395.54024324</c:v>
                </c:pt>
                <c:pt idx="11">
                  <c:v>233137756.67689437</c:v>
                </c:pt>
                <c:pt idx="12">
                  <c:v>206550229.3546856</c:v>
                </c:pt>
                <c:pt idx="13">
                  <c:v>176682198.28370243</c:v>
                </c:pt>
                <c:pt idx="14">
                  <c:v>143251534.76687908</c:v>
                </c:pt>
                <c:pt idx="15">
                  <c:v>105954042.88559826</c:v>
                </c:pt>
                <c:pt idx="16">
                  <c:v>64461789.492071159</c:v>
                </c:pt>
                <c:pt idx="17">
                  <c:v>18421309.360440724</c:v>
                </c:pt>
                <c:pt idx="18">
                  <c:v>12866499.112638876</c:v>
                </c:pt>
                <c:pt idx="19">
                  <c:v>6740631.8092029039</c:v>
                </c:pt>
                <c:pt idx="20">
                  <c:v>0</c:v>
                </c:pt>
              </c:numCache>
            </c:numRef>
          </c:val>
          <c:smooth val="0"/>
          <c:extLst>
            <c:ext xmlns:c16="http://schemas.microsoft.com/office/drawing/2014/chart" uri="{C3380CC4-5D6E-409C-BE32-E72D297353CC}">
              <c16:uniqueId val="{00000006-71AC-458E-B054-B37706F4FB30}"/>
            </c:ext>
          </c:extLst>
        </c:ser>
        <c:ser>
          <c:idx val="9"/>
          <c:order val="7"/>
          <c:tx>
            <c:strRef>
              <c:f>'Analysis Results'!$K$4</c:f>
              <c:strCache>
                <c:ptCount val="1"/>
                <c:pt idx="0">
                  <c:v>Alt 2 - 20 Yr Level $ Payment at 7% </c:v>
                </c:pt>
              </c:strCache>
            </c:strRef>
          </c:tx>
          <c:spPr>
            <a:ln>
              <a:solidFill>
                <a:schemeClr val="accent4"/>
              </a:solidFill>
            </a:ln>
          </c:spPr>
          <c:marker>
            <c:symbol val="none"/>
          </c:marker>
          <c:val>
            <c:numRef>
              <c:f>'Analysis Results'!$K$5:$K$35</c:f>
              <c:numCache>
                <c:formatCode>_(* #,##0_);_(* \(#,##0\);_(* "-"??_);_(@_)</c:formatCode>
                <c:ptCount val="31"/>
                <c:pt idx="0">
                  <c:v>371856729.09223366</c:v>
                </c:pt>
                <c:pt idx="1">
                  <c:v>362826134.61851358</c:v>
                </c:pt>
                <c:pt idx="2">
                  <c:v>353054169.50558168</c:v>
                </c:pt>
                <c:pt idx="3">
                  <c:v>342075756.22090739</c:v>
                </c:pt>
                <c:pt idx="4">
                  <c:v>330983883.7837292</c:v>
                </c:pt>
                <c:pt idx="5">
                  <c:v>319115580.27594852</c:v>
                </c:pt>
                <c:pt idx="6">
                  <c:v>306416495.52262318</c:v>
                </c:pt>
                <c:pt idx="7">
                  <c:v>292828474.83656514</c:v>
                </c:pt>
                <c:pt idx="8">
                  <c:v>278289292.70248294</c:v>
                </c:pt>
                <c:pt idx="9">
                  <c:v>262732367.81901509</c:v>
                </c:pt>
                <c:pt idx="10">
                  <c:v>246086458.19370449</c:v>
                </c:pt>
                <c:pt idx="11">
                  <c:v>228275334.89462212</c:v>
                </c:pt>
                <c:pt idx="12">
                  <c:v>209217432.96460399</c:v>
                </c:pt>
                <c:pt idx="13">
                  <c:v>188825477.89948457</c:v>
                </c:pt>
                <c:pt idx="14">
                  <c:v>167006085.97980684</c:v>
                </c:pt>
                <c:pt idx="15">
                  <c:v>143659336.62575161</c:v>
                </c:pt>
                <c:pt idx="16">
                  <c:v>118678314.81691253</c:v>
                </c:pt>
                <c:pt idx="17">
                  <c:v>91948621.48145473</c:v>
                </c:pt>
                <c:pt idx="18">
                  <c:v>63347849.612514868</c:v>
                </c:pt>
                <c:pt idx="19">
                  <c:v>32745023.712749224</c:v>
                </c:pt>
              </c:numCache>
            </c:numRef>
          </c:val>
          <c:smooth val="0"/>
          <c:extLst>
            <c:ext xmlns:c16="http://schemas.microsoft.com/office/drawing/2014/chart" uri="{C3380CC4-5D6E-409C-BE32-E72D297353CC}">
              <c16:uniqueId val="{00000000-5717-42B2-AA66-8645F34335CE}"/>
            </c:ext>
          </c:extLst>
        </c:ser>
        <c:ser>
          <c:idx val="7"/>
          <c:order val="8"/>
          <c:tx>
            <c:strRef>
              <c:f>'Analysis Results'!$L$4</c:f>
              <c:strCache>
                <c:ptCount val="1"/>
                <c:pt idx="0">
                  <c:v>Hedge 1 -  20 Yr Level % of Pay at 6.5%</c:v>
                </c:pt>
              </c:strCache>
            </c:strRef>
          </c:tx>
          <c:spPr>
            <a:ln>
              <a:solidFill>
                <a:schemeClr val="accent5"/>
              </a:solidFill>
            </a:ln>
          </c:spPr>
          <c:marker>
            <c:symbol val="none"/>
          </c:marker>
          <c:cat>
            <c:numRef>
              <c:f>'Analysis Results'!$C$5:$C$35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Results'!$L$5:$L$35</c:f>
              <c:numCache>
                <c:formatCode>_(* #,##0_);_(* \(#,##0\);_(* "-"??_);_(@_)</c:formatCode>
                <c:ptCount val="31"/>
                <c:pt idx="0">
                  <c:v>436202985.07175374</c:v>
                </c:pt>
                <c:pt idx="1">
                  <c:v>431420174.13775355</c:v>
                </c:pt>
                <c:pt idx="2">
                  <c:v>425213078.51705289</c:v>
                </c:pt>
                <c:pt idx="3">
                  <c:v>417446768.50870538</c:v>
                </c:pt>
                <c:pt idx="4">
                  <c:v>407975602.26003647</c:v>
                </c:pt>
                <c:pt idx="5">
                  <c:v>396642420.88625044</c:v>
                </c:pt>
                <c:pt idx="6">
                  <c:v>383277684.2396785</c:v>
                </c:pt>
                <c:pt idx="7">
                  <c:v>367698542.97674465</c:v>
                </c:pt>
                <c:pt idx="8">
                  <c:v>349707842.25178957</c:v>
                </c:pt>
                <c:pt idx="9">
                  <c:v>329093052.02455091</c:v>
                </c:pt>
                <c:pt idx="10">
                  <c:v>305625118.60062969</c:v>
                </c:pt>
                <c:pt idx="11">
                  <c:v>279057231.62983155</c:v>
                </c:pt>
                <c:pt idx="12">
                  <c:v>249123500.36386788</c:v>
                </c:pt>
                <c:pt idx="13">
                  <c:v>215537532.52041602</c:v>
                </c:pt>
                <c:pt idx="14">
                  <c:v>177990908.61266738</c:v>
                </c:pt>
                <c:pt idx="15">
                  <c:v>136151544.07979918</c:v>
                </c:pt>
                <c:pt idx="16">
                  <c:v>89661930.991634846</c:v>
                </c:pt>
                <c:pt idx="17">
                  <c:v>38137250.4972945</c:v>
                </c:pt>
                <c:pt idx="18">
                  <c:v>26578169.446592622</c:v>
                </c:pt>
                <c:pt idx="19">
                  <c:v>13892752.882133888</c:v>
                </c:pt>
                <c:pt idx="20">
                  <c:v>0</c:v>
                </c:pt>
              </c:numCache>
            </c:numRef>
          </c:val>
          <c:smooth val="0"/>
          <c:extLst>
            <c:ext xmlns:c16="http://schemas.microsoft.com/office/drawing/2014/chart" uri="{C3380CC4-5D6E-409C-BE32-E72D297353CC}">
              <c16:uniqueId val="{00000007-71AC-458E-B054-B37706F4FB30}"/>
            </c:ext>
          </c:extLst>
        </c:ser>
        <c:ser>
          <c:idx val="8"/>
          <c:order val="9"/>
          <c:tx>
            <c:strRef>
              <c:f>'Analysis Results'!$M$4</c:f>
              <c:strCache>
                <c:ptCount val="1"/>
                <c:pt idx="0">
                  <c:v>Hedge 2 -  20 Yr Level $ Payment at 6.5%</c:v>
                </c:pt>
              </c:strCache>
            </c:strRef>
          </c:tx>
          <c:spPr>
            <a:ln>
              <a:solidFill>
                <a:schemeClr val="accent6"/>
              </a:solidFill>
            </a:ln>
          </c:spPr>
          <c:marker>
            <c:symbol val="none"/>
          </c:marker>
          <c:val>
            <c:numRef>
              <c:f>'Analysis Results'!$M$5:$M$35</c:f>
              <c:numCache>
                <c:formatCode>_(* #,##0_);_(* \(#,##0\);_(* "-"??_);_(@_)</c:formatCode>
                <c:ptCount val="31"/>
                <c:pt idx="0">
                  <c:v>436202985.07175374</c:v>
                </c:pt>
                <c:pt idx="1">
                  <c:v>425609732.46065974</c:v>
                </c:pt>
                <c:pt idx="2">
                  <c:v>414146822.10084558</c:v>
                </c:pt>
                <c:pt idx="3">
                  <c:v>401268699.23396444</c:v>
                </c:pt>
                <c:pt idx="4">
                  <c:v>388257484.19169974</c:v>
                </c:pt>
                <c:pt idx="5">
                  <c:v>374335484.0964765</c:v>
                </c:pt>
                <c:pt idx="6">
                  <c:v>359438943.9945876</c:v>
                </c:pt>
                <c:pt idx="7">
                  <c:v>343499646.08556652</c:v>
                </c:pt>
                <c:pt idx="8">
                  <c:v>326444597.32291394</c:v>
                </c:pt>
                <c:pt idx="9">
                  <c:v>308195695.14687568</c:v>
                </c:pt>
                <c:pt idx="10">
                  <c:v>288669369.81851476</c:v>
                </c:pt>
                <c:pt idx="11">
                  <c:v>267776201.71716854</c:v>
                </c:pt>
                <c:pt idx="12">
                  <c:v>245420511.84872812</c:v>
                </c:pt>
                <c:pt idx="13">
                  <c:v>221499923.68949685</c:v>
                </c:pt>
                <c:pt idx="14">
                  <c:v>195904894.35911939</c:v>
                </c:pt>
                <c:pt idx="15">
                  <c:v>168518212.9756155</c:v>
                </c:pt>
                <c:pt idx="16">
                  <c:v>139214463.89526635</c:v>
                </c:pt>
                <c:pt idx="17">
                  <c:v>107859452.37929279</c:v>
                </c:pt>
                <c:pt idx="18">
                  <c:v>74309590.057201028</c:v>
                </c:pt>
                <c:pt idx="19">
                  <c:v>38411237.372562841</c:v>
                </c:pt>
                <c:pt idx="20">
                  <c:v>0</c:v>
                </c:pt>
              </c:numCache>
            </c:numRef>
          </c:val>
          <c:smooth val="0"/>
          <c:extLst>
            <c:ext xmlns:c16="http://schemas.microsoft.com/office/drawing/2014/chart" uri="{C3380CC4-5D6E-409C-BE32-E72D297353CC}">
              <c16:uniqueId val="{00000000-FA9D-4AC1-9C4C-E05D663FE1AC}"/>
            </c:ext>
          </c:extLst>
        </c:ser>
        <c:dLbls>
          <c:showLegendKey val="0"/>
          <c:showVal val="0"/>
          <c:showCatName val="0"/>
          <c:showSerName val="0"/>
          <c:showPercent val="0"/>
          <c:showBubbleSize val="0"/>
        </c:dLbls>
        <c:smooth val="0"/>
        <c:axId val="163364224"/>
        <c:axId val="163370112"/>
        <c:extLst>
          <c:ext xmlns:c15="http://schemas.microsoft.com/office/drawing/2012/chart" uri="{02D57815-91ED-43cb-92C2-25804820EDAC}">
            <c15:filteredLineSeries>
              <c15:ser>
                <c:idx val="1"/>
                <c:order val="1"/>
                <c:tx>
                  <c:strRef>
                    <c:extLst>
                      <c:ext uri="{02D57815-91ED-43cb-92C2-25804820EDAC}">
                        <c15:formulaRef>
                          <c15:sqref>[2]ChartData!$E$9</c15:sqref>
                        </c15:formulaRef>
                      </c:ext>
                    </c:extLst>
                    <c:strCache>
                      <c:ptCount val="1"/>
                      <c:pt idx="0">
                        <c:v>19 Yr</c:v>
                      </c:pt>
                    </c:strCache>
                  </c:strRef>
                </c:tx>
                <c:marker>
                  <c:symbol val="none"/>
                </c:marker>
                <c:cat>
                  <c:numRef>
                    <c:extLst>
                      <c:ex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c:ext uri="{02D57815-91ED-43cb-92C2-25804820EDAC}">
                        <c15:formulaRef>
                          <c15:sqref>[2]ChartData!$E$10:$E$29</c15:sqref>
                        </c15:formulaRef>
                      </c:ext>
                    </c:extLst>
                    <c:numCache>
                      <c:formatCode>General</c:formatCode>
                      <c:ptCount val="20"/>
                      <c:pt idx="0">
                        <c:v>21.298001712364282</c:v>
                      </c:pt>
                      <c:pt idx="1">
                        <c:v>21.936941763735213</c:v>
                      </c:pt>
                      <c:pt idx="2">
                        <c:v>22.595050016647267</c:v>
                      </c:pt>
                      <c:pt idx="3">
                        <c:v>23.272901517146693</c:v>
                      </c:pt>
                      <c:pt idx="4">
                        <c:v>23.971088562661087</c:v>
                      </c:pt>
                      <c:pt idx="5">
                        <c:v>24.690221219540923</c:v>
                      </c:pt>
                      <c:pt idx="6">
                        <c:v>25.430927856127152</c:v>
                      </c:pt>
                      <c:pt idx="7">
                        <c:v>26.193855691810967</c:v>
                      </c:pt>
                      <c:pt idx="8">
                        <c:v>26.979671362565295</c:v>
                      </c:pt>
                      <c:pt idx="9">
                        <c:v>27.789061503442255</c:v>
                      </c:pt>
                      <c:pt idx="10">
                        <c:v>28.622733348545513</c:v>
                      </c:pt>
                      <c:pt idx="11">
                        <c:v>29.481415349001885</c:v>
                      </c:pt>
                      <c:pt idx="12">
                        <c:v>30.365857809471944</c:v>
                      </c:pt>
                      <c:pt idx="13">
                        <c:v>31.276833543756098</c:v>
                      </c:pt>
                      <c:pt idx="14">
                        <c:v>32.215138550068794</c:v>
                      </c:pt>
                      <c:pt idx="15">
                        <c:v>33.181592706570846</c:v>
                      </c:pt>
                      <c:pt idx="16">
                        <c:v>34.177040487767982</c:v>
                      </c:pt>
                      <c:pt idx="17">
                        <c:v>35.20235170240101</c:v>
                      </c:pt>
                      <c:pt idx="18">
                        <c:v>36.258422253473057</c:v>
                      </c:pt>
                      <c:pt idx="19">
                        <c:v>0</c:v>
                      </c:pt>
                    </c:numCache>
                  </c:numRef>
                </c:val>
                <c:smooth val="0"/>
                <c:extLst>
                  <c:ext xmlns:c16="http://schemas.microsoft.com/office/drawing/2014/chart" uri="{C3380CC4-5D6E-409C-BE32-E72D297353CC}">
                    <c16:uniqueId val="{00000003-71AC-458E-B054-B37706F4FB30}"/>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[2]ChartData!$F$9</c15:sqref>
                        </c15:formulaRef>
                      </c:ext>
                    </c:extLst>
                    <c:strCache>
                      <c:ptCount val="1"/>
                      <c:pt idx="0">
                        <c:v>15 Yr</c:v>
                      </c:pt>
                    </c:strCache>
                  </c:strRef>
                </c:tx>
                <c:marker>
                  <c:symbol val="none"/>
                </c:marker>
                <c:cat>
                  <c:numRef>
                    <c:extLst xmlns:c15="http://schemas.microsoft.com/office/drawing/2012/chart">
                      <c:ext xmlns:c15="http://schemas.microsoft.com/office/drawing/2012/char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xmlns:c15="http://schemas.microsoft.com/office/drawing/2012/chart">
                      <c:ext xmlns:c15="http://schemas.microsoft.com/office/drawing/2012/chart" uri="{02D57815-91ED-43cb-92C2-25804820EDAC}">
                        <c15:formulaRef>
                          <c15:sqref>[2]ChartData!$F$10:$F$25</c15:sqref>
                        </c15:formulaRef>
                      </c:ext>
                    </c:extLst>
                    <c:numCache>
                      <c:formatCode>General</c:formatCode>
                      <c:ptCount val="16"/>
                      <c:pt idx="0">
                        <c:v>25.021836489826942</c:v>
                      </c:pt>
                      <c:pt idx="1">
                        <c:v>25.772491584521756</c:v>
                      </c:pt>
                      <c:pt idx="2">
                        <c:v>26.545666332057408</c:v>
                      </c:pt>
                      <c:pt idx="3">
                        <c:v>27.342036322019126</c:v>
                      </c:pt>
                      <c:pt idx="4">
                        <c:v>28.162297411679699</c:v>
                      </c:pt>
                      <c:pt idx="5">
                        <c:v>29.007166334030099</c:v>
                      </c:pt>
                      <c:pt idx="6">
                        <c:v>29.877381324050994</c:v>
                      </c:pt>
                      <c:pt idx="7">
                        <c:v>30.77370276377253</c:v>
                      </c:pt>
                      <c:pt idx="8">
                        <c:v>31.6969138466857</c:v>
                      </c:pt>
                      <c:pt idx="9">
                        <c:v>32.647821262086275</c:v>
                      </c:pt>
                      <c:pt idx="10">
                        <c:v>33.627255899948864</c:v>
                      </c:pt>
                      <c:pt idx="11">
                        <c:v>34.636073576947332</c:v>
                      </c:pt>
                      <c:pt idx="12">
                        <c:v>35.675155784255757</c:v>
                      </c:pt>
                      <c:pt idx="13">
                        <c:v>36.745410457783429</c:v>
                      </c:pt>
                      <c:pt idx="14">
                        <c:v>37.847772771516937</c:v>
                      </c:pt>
                      <c:pt idx="15">
                        <c:v>0</c:v>
                      </c:pt>
                    </c:numCache>
                  </c:numRef>
                </c:val>
                <c:smooth val="0"/>
                <c:extLst xmlns:c15="http://schemas.microsoft.com/office/drawing/2012/chart">
                  <c:ext xmlns:c16="http://schemas.microsoft.com/office/drawing/2014/chart" uri="{C3380CC4-5D6E-409C-BE32-E72D297353CC}">
                    <c16:uniqueId val="{00000004-71AC-458E-B054-B37706F4FB30}"/>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[2]ChartData!$G$9</c15:sqref>
                        </c15:formulaRef>
                      </c:ext>
                    </c:extLst>
                    <c:strCache>
                      <c:ptCount val="1"/>
                      <c:pt idx="0">
                        <c:v>10 Yr</c:v>
                      </c:pt>
                    </c:strCache>
                  </c:strRef>
                </c:tx>
                <c:marker>
                  <c:symbol val="none"/>
                </c:marker>
                <c:cat>
                  <c:numRef>
                    <c:extLst xmlns:c15="http://schemas.microsoft.com/office/drawing/2012/chart">
                      <c:ext xmlns:c15="http://schemas.microsoft.com/office/drawing/2012/char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xmlns:c15="http://schemas.microsoft.com/office/drawing/2012/chart">
                      <c:ext xmlns:c15="http://schemas.microsoft.com/office/drawing/2012/chart" uri="{02D57815-91ED-43cb-92C2-25804820EDAC}">
                        <c15:formulaRef>
                          <c15:sqref>[2]ChartData!$G$10:$G$20</c15:sqref>
                        </c15:formulaRef>
                      </c:ext>
                    </c:extLst>
                    <c:numCache>
                      <c:formatCode>General</c:formatCode>
                      <c:ptCount val="11"/>
                      <c:pt idx="0">
                        <c:v>34.048513696807483</c:v>
                      </c:pt>
                      <c:pt idx="1">
                        <c:v>35.0699691077117</c:v>
                      </c:pt>
                      <c:pt idx="2">
                        <c:v>36.12206818094306</c:v>
                      </c:pt>
                      <c:pt idx="3">
                        <c:v>37.205730226371344</c:v>
                      </c:pt>
                      <c:pt idx="4">
                        <c:v>38.321902133162482</c:v>
                      </c:pt>
                      <c:pt idx="5">
                        <c:v>39.471559197157376</c:v>
                      </c:pt>
                      <c:pt idx="6">
                        <c:v>40.655705973072102</c:v>
                      </c:pt>
                      <c:pt idx="7">
                        <c:v>41.875377152264264</c:v>
                      </c:pt>
                      <c:pt idx="8">
                        <c:v>43.131638466832186</c:v>
                      </c:pt>
                      <c:pt idx="9">
                        <c:v>44.425587620837149</c:v>
                      </c:pt>
                      <c:pt idx="10">
                        <c:v>0</c:v>
                      </c:pt>
                    </c:numCache>
                  </c:numRef>
                </c:val>
                <c:smooth val="0"/>
                <c:extLst xmlns:c15="http://schemas.microsoft.com/office/drawing/2012/chart">
                  <c:ext xmlns:c16="http://schemas.microsoft.com/office/drawing/2014/chart" uri="{C3380CC4-5D6E-409C-BE32-E72D297353CC}">
                    <c16:uniqueId val="{00000005-71AC-458E-B054-B37706F4FB30}"/>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'Analysis Results'!$E$4</c15:sqref>
                        </c15:formulaRef>
                      </c:ext>
                    </c:extLst>
                    <c:strCache>
                      <c:ptCount val="1"/>
                      <c:pt idx="0">
                        <c:v>Alt 1 - 20 Yr Level % of Pay at 7% </c:v>
                      </c:pt>
                    </c:strCache>
                  </c:strRef>
                </c:tx>
                <c:marker>
                  <c:symbol val="none"/>
                </c:marker>
                <c:cat>
                  <c:numRef>
                    <c:extLst xmlns:c15="http://schemas.microsoft.com/office/drawing/2012/chart">
                      <c:ext xmlns:c15="http://schemas.microsoft.com/office/drawing/2012/char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xmlns:c15="http://schemas.microsoft.com/office/drawing/2012/chart">
                      <c:ext xmlns:c15="http://schemas.microsoft.com/office/drawing/2012/chart" uri="{02D57815-91ED-43cb-92C2-25804820EDAC}">
                        <c15:formulaRef>
                          <c15:sqref>'Analysis Results'!$E$5:$E$35</c15:sqref>
                        </c15:formulaRef>
                      </c:ext>
                    </c:extLst>
                    <c:numCache>
                      <c:formatCode>_(* #,##0_);_(* \(#,##0\);_(* "-"??_);_(@_)</c:formatCode>
                      <c:ptCount val="31"/>
                      <c:pt idx="0">
                        <c:v>30470113.894000754</c:v>
                      </c:pt>
                      <c:pt idx="1">
                        <c:v>31384217.310820784</c:v>
                      </c:pt>
                      <c:pt idx="2">
                        <c:v>32325743.8301454</c:v>
                      </c:pt>
                      <c:pt idx="3">
                        <c:v>33295516.145049766</c:v>
                      </c:pt>
                      <c:pt idx="4">
                        <c:v>34294381.629401267</c:v>
                      </c:pt>
                      <c:pt idx="5">
                        <c:v>35323213.078283295</c:v>
                      </c:pt>
                      <c:pt idx="6">
                        <c:v>36382909.470631793</c:v>
                      </c:pt>
                      <c:pt idx="7">
                        <c:v>37474396.754750766</c:v>
                      </c:pt>
                      <c:pt idx="8">
                        <c:v>38598628.657393269</c:v>
                      </c:pt>
                      <c:pt idx="9">
                        <c:v>39756587.517115071</c:v>
                      </c:pt>
                      <c:pt idx="10">
                        <c:v>40949285.142628521</c:v>
                      </c:pt>
                      <c:pt idx="11">
                        <c:v>42177763.696907379</c:v>
                      </c:pt>
                      <c:pt idx="12">
                        <c:v>43443096.60781461</c:v>
                      </c:pt>
                      <c:pt idx="13">
                        <c:v>44746389.506049052</c:v>
                      </c:pt>
                      <c:pt idx="14">
                        <c:v>46088781.191230521</c:v>
                      </c:pt>
                      <c:pt idx="15">
                        <c:v>47471444.626967445</c:v>
                      </c:pt>
                      <c:pt idx="16">
                        <c:v>48895587.965776488</c:v>
                      </c:pt>
                      <c:pt idx="17">
                        <c:v>6560510.8708915673</c:v>
                      </c:pt>
                      <c:pt idx="18">
                        <c:v>6757326.1970183151</c:v>
                      </c:pt>
                      <c:pt idx="19">
                        <c:v>6960045.9829288591</c:v>
                      </c:pt>
                    </c:numCache>
                  </c:numRef>
                </c:val>
                <c:smooth val="0"/>
                <c:extLst xmlns:c15="http://schemas.microsoft.com/office/drawing/2012/chart">
                  <c:ext xmlns:c16="http://schemas.microsoft.com/office/drawing/2014/chart" uri="{C3380CC4-5D6E-409C-BE32-E72D297353CC}">
                    <c16:uniqueId val="{00000001-71AC-458E-B054-B37706F4FB30}"/>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'Analysis Results'!$G$4</c15:sqref>
                        </c15:formulaRef>
                      </c:ext>
                    </c:extLst>
                    <c:strCache>
                      <c:ptCount val="1"/>
                      <c:pt idx="0">
                        <c:v>Hedge 1 -  20 Yr Level % of Pay at 6.5%</c:v>
                      </c:pt>
                    </c:strCache>
                  </c:strRef>
                </c:tx>
                <c:marker>
                  <c:symbol val="none"/>
                </c:marker>
                <c:cat>
                  <c:numRef>
                    <c:extLst xmlns:c15="http://schemas.microsoft.com/office/drawing/2012/chart">
                      <c:ext xmlns:c15="http://schemas.microsoft.com/office/drawing/2012/char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xmlns:c15="http://schemas.microsoft.com/office/drawing/2012/chart">
                      <c:ext xmlns:c15="http://schemas.microsoft.com/office/drawing/2012/chart" uri="{02D57815-91ED-43cb-92C2-25804820EDAC}">
                        <c15:formulaRef>
                          <c15:sqref>'Analysis Results'!$G$5:$G$25</c15:sqref>
                        </c15:formulaRef>
                      </c:ext>
                    </c:extLst>
                    <c:numCache>
                      <c:formatCode>_(* #,##0_);_(* \(#,##0\);_(* "-"??_);_(@_)</c:formatCode>
                      <c:ptCount val="21"/>
                      <c:pt idx="0">
                        <c:v>34662906.94296661</c:v>
                      </c:pt>
                      <c:pt idx="1">
                        <c:v>35702794.151255608</c:v>
                      </c:pt>
                      <c:pt idx="2">
                        <c:v>36773877.97579328</c:v>
                      </c:pt>
                      <c:pt idx="3">
                        <c:v>37877094.315067075</c:v>
                      </c:pt>
                      <c:pt idx="4">
                        <c:v>39013407.144519091</c:v>
                      </c:pt>
                      <c:pt idx="5">
                        <c:v>40183809.358854651</c:v>
                      </c:pt>
                      <c:pt idx="6">
                        <c:v>41389323.639620304</c:v>
                      </c:pt>
                      <c:pt idx="7">
                        <c:v>42631003.348808914</c:v>
                      </c:pt>
                      <c:pt idx="8">
                        <c:v>43909933.449273162</c:v>
                      </c:pt>
                      <c:pt idx="9">
                        <c:v>45227231.452751368</c:v>
                      </c:pt>
                      <c:pt idx="10">
                        <c:v>46584048.396333888</c:v>
                      </c:pt>
                      <c:pt idx="11">
                        <c:v>47981569.848223917</c:v>
                      </c:pt>
                      <c:pt idx="12">
                        <c:v>49421016.943670645</c:v>
                      </c:pt>
                      <c:pt idx="13">
                        <c:v>50903647.451980762</c:v>
                      </c:pt>
                      <c:pt idx="14">
                        <c:v>52430756.875540167</c:v>
                      </c:pt>
                      <c:pt idx="15">
                        <c:v>54003679.581806391</c:v>
                      </c:pt>
                      <c:pt idx="16">
                        <c:v>55623789.969260588</c:v>
                      </c:pt>
                      <c:pt idx="17">
                        <c:v>13490558.93448019</c:v>
                      </c:pt>
                      <c:pt idx="18">
                        <c:v>13895275.702514591</c:v>
                      </c:pt>
                      <c:pt idx="19">
                        <c:v>14312133.973590016</c:v>
                      </c:pt>
                    </c:numCache>
                  </c:numRef>
                </c:val>
                <c:smooth val="0"/>
                <c:extLst xmlns:c15="http://schemas.microsoft.com/office/drawing/2012/chart">
                  <c:ext xmlns:c16="http://schemas.microsoft.com/office/drawing/2014/chart" uri="{C3380CC4-5D6E-409C-BE32-E72D297353CC}">
                    <c16:uniqueId val="{00000002-71AC-458E-B054-B37706F4FB30}"/>
                  </c:ext>
                </c:extLst>
              </c15:ser>
            </c15:filteredLineSeries>
          </c:ext>
        </c:extLst>
      </c:lineChart>
      <c:catAx>
        <c:axId val="163364224"/>
        <c:scaling>
          <c:orientation val="minMax"/>
        </c:scaling>
        <c:delete val="0"/>
        <c:axPos val="b"/>
        <c:numFmt formatCode="General" sourceLinked="1"/>
        <c:majorTickMark val="out"/>
        <c:minorTickMark val="none"/>
        <c:tickLblPos val="nextTo"/>
        <c:txPr>
          <a:bodyPr rot="5400000" vert="horz"/>
          <a:lstStyle/>
          <a:p>
            <a:pPr>
              <a:defRPr sz="1100" baseline="0">
                <a:latin typeface="Calibri" panose="020F0502020204030204" pitchFamily="34" charset="0"/>
              </a:defRPr>
            </a:pPr>
            <a:endParaRPr lang="en-US"/>
          </a:p>
        </c:txPr>
        <c:crossAx val="163370112"/>
        <c:crosses val="autoZero"/>
        <c:auto val="1"/>
        <c:lblAlgn val="ctr"/>
        <c:lblOffset val="100"/>
        <c:tickLblSkip val="2"/>
        <c:tickMarkSkip val="1"/>
        <c:noMultiLvlLbl val="0"/>
      </c:catAx>
      <c:valAx>
        <c:axId val="163370112"/>
        <c:scaling>
          <c:orientation val="minMax"/>
        </c:scaling>
        <c:delete val="0"/>
        <c:axPos val="l"/>
        <c:majorGridlines/>
        <c:numFmt formatCode="&quot;$&quot;#,##0" sourceLinked="0"/>
        <c:majorTickMark val="none"/>
        <c:minorTickMark val="none"/>
        <c:tickLblPos val="low"/>
        <c:spPr>
          <a:ln w="9525">
            <a:noFill/>
          </a:ln>
        </c:spPr>
        <c:txPr>
          <a:bodyPr/>
          <a:lstStyle/>
          <a:p>
            <a:pPr>
              <a:defRPr sz="1100" baseline="0">
                <a:latin typeface="Calibri" panose="020F0502020204030204" pitchFamily="34" charset="0"/>
              </a:defRPr>
            </a:pPr>
            <a:endParaRPr lang="en-US"/>
          </a:p>
        </c:txPr>
        <c:crossAx val="163364224"/>
        <c:crossesAt val="2"/>
        <c:crossBetween val="midCat"/>
      </c:valAx>
    </c:plotArea>
    <c:legend>
      <c:legendPos val="b"/>
      <c:layout>
        <c:manualLayout>
          <c:xMode val="edge"/>
          <c:yMode val="edge"/>
          <c:x val="0.20178179432116441"/>
          <c:y val="0.86936898512685923"/>
          <c:w val="0.59043806278478028"/>
          <c:h val="8.7525760580127648E-2"/>
        </c:manualLayout>
      </c:layout>
      <c:overlay val="0"/>
      <c:txPr>
        <a:bodyPr/>
        <a:lstStyle/>
        <a:p>
          <a:pPr>
            <a:defRPr sz="1200"/>
          </a:pPr>
          <a:endParaRPr lang="en-US"/>
        </a:p>
      </c:txPr>
    </c:legend>
    <c:plotVisOnly val="1"/>
    <c:dispBlanksAs val="gap"/>
    <c:showDLblsOverMax val="0"/>
  </c:chart>
  <c:spPr>
    <a:solidFill>
      <a:srgbClr val="FBFBFB"/>
    </a:solidFill>
    <a:ln>
      <a:noFill/>
    </a:ln>
    <a:effectLst>
      <a:outerShdw blurRad="50800" dist="38100" dir="5400000" algn="t" rotWithShape="0">
        <a:prstClr val="black">
          <a:alpha val="40000"/>
        </a:prstClr>
      </a:outerShdw>
    </a:effectLst>
  </c:spPr>
  <c:printSettings>
    <c:headerFooter/>
    <c:pageMargins b="0.75" l="0.7" r="0.7" t="0.75" header="0.3" footer="0.3"/>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Relative Cost / Savings</a:t>
            </a:r>
          </a:p>
          <a:p>
            <a:pPr>
              <a:defRPr/>
            </a:pPr>
            <a:r>
              <a:rPr lang="en-US"/>
              <a:t>As</a:t>
            </a:r>
            <a:r>
              <a:rPr lang="en-US" baseline="0"/>
              <a:t> Compared to Current Schedule</a:t>
            </a:r>
          </a:p>
          <a:p>
            <a:pPr>
              <a:defRPr/>
            </a:pPr>
            <a:r>
              <a:rPr lang="en-US" baseline="0"/>
              <a:t>(In Millions)</a:t>
            </a:r>
            <a:endParaRPr lang="en-US"/>
          </a:p>
        </c:rich>
      </c:tx>
      <c:overlay val="0"/>
    </c:title>
    <c:autoTitleDeleted val="0"/>
    <c:plotArea>
      <c:layout>
        <c:manualLayout>
          <c:layoutTarget val="inner"/>
          <c:xMode val="edge"/>
          <c:yMode val="edge"/>
          <c:x val="7.3612454626712093E-2"/>
          <c:y val="0.22625493932968468"/>
          <c:w val="0.88543704167348303"/>
          <c:h val="0.64501203556229425"/>
        </c:manualLayout>
      </c:layout>
      <c:lineChart>
        <c:grouping val="stacked"/>
        <c:varyColors val="0"/>
        <c:ser>
          <c:idx val="0"/>
          <c:order val="0"/>
          <c:tx>
            <c:strRef>
              <c:f>ChartData!$H$9</c:f>
              <c:strCache>
                <c:ptCount val="1"/>
                <c:pt idx="0">
                  <c:v>2015</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ChartData!$H$10:$H$40</c:f>
              <c:numCache>
                <c:formatCode>_(* #,##0.0_);_(* \(#,##0.0\);_(* "-"??_);_(@_)</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0-5903-404A-B1B5-0AA7E097E1D0}"/>
            </c:ext>
          </c:extLst>
        </c:ser>
        <c:ser>
          <c:idx val="1"/>
          <c:order val="1"/>
          <c:tx>
            <c:strRef>
              <c:f>ChartData!$I$9</c:f>
              <c:strCache>
                <c:ptCount val="1"/>
                <c:pt idx="0">
                  <c:v>2016+</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ChartData!$I$10:$I$40</c:f>
              <c:numCache>
                <c:formatCode>_(* #,##0.0_);_(* \(#,##0.0\);_(* "-"??_);_(@_)</c:formatCode>
                <c:ptCount val="30"/>
                <c:pt idx="0">
                  <c:v>-8.8654705246540288E-2</c:v>
                </c:pt>
                <c:pt idx="1">
                  <c:v>-1.6819060000028827</c:v>
                </c:pt>
                <c:pt idx="2">
                  <c:v>-3.3578129215536521</c:v>
                </c:pt>
                <c:pt idx="3">
                  <c:v>-5.0837860714264131</c:v>
                </c:pt>
                <c:pt idx="4">
                  <c:v>-6.8909643663603433</c:v>
                </c:pt>
                <c:pt idx="5">
                  <c:v>-8.828260950930126</c:v>
                </c:pt>
                <c:pt idx="6">
                  <c:v>-9.0313867029203045</c:v>
                </c:pt>
                <c:pt idx="7">
                  <c:v>-9.2378900744525083</c:v>
                </c:pt>
                <c:pt idx="8">
                  <c:v>-9.447767343344168</c:v>
                </c:pt>
                <c:pt idx="9">
                  <c:v>-9.6610113195598188</c:v>
                </c:pt>
                <c:pt idx="10">
                  <c:v>-9.8776111627438006</c:v>
                </c:pt>
                <c:pt idx="11">
                  <c:v>-10.097552193251182</c:v>
                </c:pt>
                <c:pt idx="12">
                  <c:v>-10.320815696465267</c:v>
                </c:pt>
                <c:pt idx="13">
                  <c:v>-10.547378720181172</c:v>
                </c:pt>
                <c:pt idx="14">
                  <c:v>-10.77721386482591</c:v>
                </c:pt>
                <c:pt idx="15">
                  <c:v>-11.010289066275575</c:v>
                </c:pt>
                <c:pt idx="16">
                  <c:v>-11.246567371020291</c:v>
                </c:pt>
                <c:pt idx="17">
                  <c:v>-11.447902621608858</c:v>
                </c:pt>
                <c:pt idx="18">
                  <c:v>-10.163788318884617</c:v>
                </c:pt>
                <c:pt idx="19">
                  <c:v>-8.7923240456374714</c:v>
                </c:pt>
                <c:pt idx="20">
                  <c:v>-7.3294245065085031</c:v>
                </c:pt>
                <c:pt idx="21">
                  <c:v>-5.770837903390726</c:v>
                </c:pt>
                <c:pt idx="22">
                  <c:v>-5.9439630404924451</c:v>
                </c:pt>
                <c:pt idx="23">
                  <c:v>-6.122281931707219</c:v>
                </c:pt>
                <c:pt idx="24">
                  <c:v>-6.3059503896584355</c:v>
                </c:pt>
                <c:pt idx="25">
                  <c:v>-6.3778615705809614</c:v>
                </c:pt>
                <c:pt idx="26">
                  <c:v>-6.4987908052272712</c:v>
                </c:pt>
                <c:pt idx="27">
                  <c:v>-5.3156180790960335</c:v>
                </c:pt>
                <c:pt idx="28">
                  <c:v>-4.0556060776722109</c:v>
                </c:pt>
                <c:pt idx="29">
                  <c:v>-2.715209299891777</c:v>
                </c:pt>
              </c:numCache>
            </c:numRef>
          </c:val>
          <c:smooth val="0"/>
          <c:extLst>
            <c:ext xmlns:c16="http://schemas.microsoft.com/office/drawing/2014/chart" uri="{C3380CC4-5D6E-409C-BE32-E72D297353CC}">
              <c16:uniqueId val="{00000001-5903-404A-B1B5-0AA7E097E1D0}"/>
            </c:ext>
          </c:extLst>
        </c:ser>
        <c:ser>
          <c:idx val="2"/>
          <c:order val="2"/>
          <c:tx>
            <c:strRef>
              <c:f>ChartData!$J$9</c:f>
              <c:strCache>
                <c:ptCount val="1"/>
                <c:pt idx="0">
                  <c:v>Alt 1</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ChartData!#REF!</c:f>
              <c:numCache>
                <c:formatCode>_(* #,##0.0_);_(* \(#,##0.0\);_(* "-"??_);_(@_)</c:formatCode>
                <c:ptCount val="30"/>
                <c:pt idx="0">
                  <c:v>-4.9326173094839838</c:v>
                </c:pt>
                <c:pt idx="1">
                  <c:v>-4.6616102610682013</c:v>
                </c:pt>
                <c:pt idx="2">
                  <c:v>-4.3699034341689433</c:v>
                </c:pt>
                <c:pt idx="3">
                  <c:v>-4.0564987484207649</c:v>
                </c:pt>
                <c:pt idx="4">
                  <c:v>-3.7203568684369372</c:v>
                </c:pt>
                <c:pt idx="5">
                  <c:v>-3.8319675744900614</c:v>
                </c:pt>
                <c:pt idx="6">
                  <c:v>-3.9469266017247513</c:v>
                </c:pt>
                <c:pt idx="7">
                  <c:v>-4.0653343997764999</c:v>
                </c:pt>
                <c:pt idx="8">
                  <c:v>-4.1872944317697929</c:v>
                </c:pt>
                <c:pt idx="9">
                  <c:v>-4.3129132647228801</c:v>
                </c:pt>
                <c:pt idx="10">
                  <c:v>-4.4423006626645787</c:v>
                </c:pt>
                <c:pt idx="11">
                  <c:v>-4.5755696825445042</c:v>
                </c:pt>
                <c:pt idx="12">
                  <c:v>-4.7128367730208467</c:v>
                </c:pt>
                <c:pt idx="13">
                  <c:v>-4.8542218762114757</c:v>
                </c:pt>
                <c:pt idx="14">
                  <c:v>-4.9998485324978219</c:v>
                </c:pt>
                <c:pt idx="15">
                  <c:v>-5.1498439884727532</c:v>
                </c:pt>
                <c:pt idx="16">
                  <c:v>-5.3043393081269414</c:v>
                </c:pt>
                <c:pt idx="17">
                  <c:v>-5.4634694873707401</c:v>
                </c:pt>
                <c:pt idx="18">
                  <c:v>-5.6273735719918632</c:v>
                </c:pt>
                <c:pt idx="19">
                  <c:v>-0.46537725556653431</c:v>
                </c:pt>
                <c:pt idx="20">
                  <c:v>3.6734686455720968</c:v>
                </c:pt>
                <c:pt idx="21">
                  <c:v>3.7836727049392582</c:v>
                </c:pt>
                <c:pt idx="22">
                  <c:v>3.8971828860874362</c:v>
                </c:pt>
                <c:pt idx="23">
                  <c:v>4.0140983726700608</c:v>
                </c:pt>
                <c:pt idx="24">
                  <c:v>4.1345213238501595</c:v>
                </c:pt>
                <c:pt idx="25">
                  <c:v>4.258556963565665</c:v>
                </c:pt>
                <c:pt idx="26">
                  <c:v>3.5090509379781096</c:v>
                </c:pt>
                <c:pt idx="27">
                  <c:v>2.7107418495880893</c:v>
                </c:pt>
                <c:pt idx="28">
                  <c:v>1.8613760700504876</c:v>
                </c:pt>
                <c:pt idx="29">
                  <c:v>0.95860867607600109</c:v>
                </c:pt>
              </c:numCache>
            </c:numRef>
          </c:val>
          <c:smooth val="0"/>
          <c:extLst>
            <c:ext xmlns:c16="http://schemas.microsoft.com/office/drawing/2014/chart" uri="{C3380CC4-5D6E-409C-BE32-E72D297353CC}">
              <c16:uniqueId val="{00000002-5903-404A-B1B5-0AA7E097E1D0}"/>
            </c:ext>
          </c:extLst>
        </c:ser>
        <c:ser>
          <c:idx val="3"/>
          <c:order val="3"/>
          <c:tx>
            <c:strRef>
              <c:f>ChartData!$K$9</c:f>
              <c:strCache>
                <c:ptCount val="1"/>
                <c:pt idx="0">
                  <c:v>Level</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ChartData!$J$10:$J$40</c:f>
              <c:numCache>
                <c:formatCode>_(* #,##0.0_);_(* \(#,##0.0\);_(* "-"??_);_(@_)</c:formatCode>
                <c:ptCount val="30"/>
                <c:pt idx="0">
                  <c:v>-5.4243379110142627</c:v>
                </c:pt>
                <c:pt idx="1">
                  <c:v>-4.5820280687030177</c:v>
                </c:pt>
                <c:pt idx="2">
                  <c:v>-3.6971573933894142</c:v>
                </c:pt>
                <c:pt idx="3">
                  <c:v>-2.8040451238662278</c:v>
                </c:pt>
                <c:pt idx="4">
                  <c:v>-0.77566492235462903</c:v>
                </c:pt>
                <c:pt idx="5">
                  <c:v>0.93163278355369528</c:v>
                </c:pt>
                <c:pt idx="6">
                  <c:v>0.89785969052257997</c:v>
                </c:pt>
                <c:pt idx="7">
                  <c:v>0.86035725168284216</c:v>
                </c:pt>
                <c:pt idx="8">
                  <c:v>0.81890853589142409</c:v>
                </c:pt>
                <c:pt idx="9">
                  <c:v>0.77328674788349616</c:v>
                </c:pt>
                <c:pt idx="10">
                  <c:v>0.72325485391719013</c:v>
                </c:pt>
                <c:pt idx="11">
                  <c:v>0.66856519515977197</c:v>
                </c:pt>
                <c:pt idx="12">
                  <c:v>0.60895908843112068</c:v>
                </c:pt>
                <c:pt idx="13">
                  <c:v>0.54416641390599807</c:v>
                </c:pt>
                <c:pt idx="14">
                  <c:v>0.47390518936248327</c:v>
                </c:pt>
                <c:pt idx="15">
                  <c:v>0.39788113054824237</c:v>
                </c:pt>
                <c:pt idx="16">
                  <c:v>0.31578719722113391</c:v>
                </c:pt>
                <c:pt idx="17">
                  <c:v>0.1891990425957113</c:v>
                </c:pt>
                <c:pt idx="18">
                  <c:v>-1.4326763674989245</c:v>
                </c:pt>
                <c:pt idx="19">
                  <c:v>-3.1520345813375692</c:v>
                </c:pt>
                <c:pt idx="20">
                  <c:v>2.1955824831409378</c:v>
                </c:pt>
                <c:pt idx="21">
                  <c:v>0.48298061932212955</c:v>
                </c:pt>
                <c:pt idx="22">
                  <c:v>0.49747003790179267</c:v>
                </c:pt>
                <c:pt idx="23">
                  <c:v>0.51239413903884867</c:v>
                </c:pt>
                <c:pt idx="24">
                  <c:v>0.52776596321001368</c:v>
                </c:pt>
                <c:pt idx="25">
                  <c:v>2.468348995900592</c:v>
                </c:pt>
                <c:pt idx="26">
                  <c:v>3.6980080249103207</c:v>
                </c:pt>
                <c:pt idx="27">
                  <c:v>3.6936074421215128</c:v>
                </c:pt>
                <c:pt idx="28">
                  <c:v>3.6856146171429556</c:v>
                </c:pt>
                <c:pt idx="29">
                  <c:v>0</c:v>
                </c:pt>
              </c:numCache>
            </c:numRef>
          </c:val>
          <c:smooth val="0"/>
          <c:extLst>
            <c:ext xmlns:c16="http://schemas.microsoft.com/office/drawing/2014/chart" uri="{C3380CC4-5D6E-409C-BE32-E72D297353CC}">
              <c16:uniqueId val="{00000003-5903-404A-B1B5-0AA7E097E1D0}"/>
            </c:ext>
          </c:extLst>
        </c:ser>
        <c:dLbls>
          <c:showLegendKey val="0"/>
          <c:showVal val="0"/>
          <c:showCatName val="0"/>
          <c:showSerName val="0"/>
          <c:showPercent val="0"/>
          <c:showBubbleSize val="0"/>
        </c:dLbls>
        <c:smooth val="0"/>
        <c:axId val="231841792"/>
        <c:axId val="231843712"/>
      </c:lineChart>
      <c:catAx>
        <c:axId val="231841792"/>
        <c:scaling>
          <c:orientation val="minMax"/>
        </c:scaling>
        <c:delete val="0"/>
        <c:axPos val="b"/>
        <c:numFmt formatCode="General" sourceLinked="1"/>
        <c:majorTickMark val="none"/>
        <c:minorTickMark val="out"/>
        <c:tickLblPos val="nextTo"/>
        <c:txPr>
          <a:bodyPr rot="5400000" vert="horz"/>
          <a:lstStyle/>
          <a:p>
            <a:pPr>
              <a:defRPr sz="1200" b="0"/>
            </a:pPr>
            <a:endParaRPr lang="en-US"/>
          </a:p>
        </c:txPr>
        <c:crossAx val="231843712"/>
        <c:crosses val="autoZero"/>
        <c:auto val="1"/>
        <c:lblAlgn val="ctr"/>
        <c:lblOffset val="100"/>
        <c:tickLblSkip val="2"/>
        <c:noMultiLvlLbl val="0"/>
      </c:catAx>
      <c:valAx>
        <c:axId val="231843712"/>
        <c:scaling>
          <c:orientation val="minMax"/>
        </c:scaling>
        <c:delete val="0"/>
        <c:axPos val="l"/>
        <c:majorGridlines/>
        <c:numFmt formatCode="&quot;$&quot;#,##0" sourceLinked="0"/>
        <c:majorTickMark val="none"/>
        <c:minorTickMark val="none"/>
        <c:tickLblPos val="nextTo"/>
        <c:crossAx val="231841792"/>
        <c:crosses val="autoZero"/>
        <c:crossBetween val="between"/>
      </c:valAx>
    </c:plotArea>
    <c:legend>
      <c:legendPos val="r"/>
      <c:layout>
        <c:manualLayout>
          <c:xMode val="edge"/>
          <c:yMode val="edge"/>
          <c:x val="7.4551927668281254E-2"/>
          <c:y val="0.87232277997303542"/>
          <c:w val="0.73419921925937515"/>
          <c:h val="0.12767722002696458"/>
        </c:manualLayout>
      </c:layout>
      <c:overlay val="0"/>
      <c:txPr>
        <a:bodyPr/>
        <a:lstStyle/>
        <a:p>
          <a:pPr>
            <a:defRPr sz="1200"/>
          </a:pPr>
          <a:endParaRPr lang="en-US"/>
        </a:p>
      </c:txPr>
    </c:legend>
    <c:plotVisOnly val="1"/>
    <c:dispBlanksAs val="zero"/>
    <c:showDLblsOverMax val="0"/>
  </c:chart>
  <c:spPr>
    <a:noFill/>
    <a:ln>
      <a:noFill/>
    </a:ln>
  </c:sp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Relative Annual Cost (-) / Savings (+)</a:t>
            </a:r>
          </a:p>
          <a:p>
            <a:pPr>
              <a:defRPr/>
            </a:pPr>
            <a:r>
              <a:rPr lang="en-US" baseline="0"/>
              <a:t>As Compared to Default Schedule</a:t>
            </a:r>
          </a:p>
          <a:p>
            <a:pPr>
              <a:defRPr/>
            </a:pPr>
            <a:r>
              <a:rPr lang="en-US" baseline="0"/>
              <a:t>(Millions)</a:t>
            </a:r>
            <a:endParaRPr lang="en-US"/>
          </a:p>
        </c:rich>
      </c:tx>
      <c:overlay val="0"/>
    </c:title>
    <c:autoTitleDeleted val="0"/>
    <c:plotArea>
      <c:layout>
        <c:manualLayout>
          <c:layoutTarget val="inner"/>
          <c:xMode val="edge"/>
          <c:yMode val="edge"/>
          <c:x val="6.6731662892684049E-2"/>
          <c:y val="0.18190272829383078"/>
          <c:w val="0.91195051090299228"/>
          <c:h val="0.63367351753324974"/>
        </c:manualLayout>
      </c:layout>
      <c:lineChart>
        <c:grouping val="standard"/>
        <c:varyColors val="0"/>
        <c:ser>
          <c:idx val="8"/>
          <c:order val="8"/>
          <c:tx>
            <c:strRef>
              <c:f>'Analysis Results'!$N$4</c:f>
              <c:strCache>
                <c:ptCount val="1"/>
                <c:pt idx="0">
                  <c:v>Alt 1 - 20 Yr Level % of Pay at 7% </c:v>
                </c:pt>
              </c:strCache>
            </c:strRef>
          </c:tx>
          <c:spPr>
            <a:ln>
              <a:solidFill>
                <a:srgbClr val="00B0F0"/>
              </a:solidFill>
            </a:ln>
          </c:spPr>
          <c:marker>
            <c:symbol val="none"/>
          </c:marker>
          <c:cat>
            <c:numRef>
              <c:f>'Analysis Results'!$C$5:$C$35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Results'!$N$5:$N$35</c:f>
              <c:numCache>
                <c:formatCode>_(* #,##0_);_(* \(#,##0\);_(* "-"??_);_(@_)</c:formatCode>
                <c:ptCount val="31"/>
                <c:pt idx="0">
                  <c:v>-5424337.9110142626</c:v>
                </c:pt>
                <c:pt idx="1">
                  <c:v>-4582028.0687030181</c:v>
                </c:pt>
                <c:pt idx="2">
                  <c:v>-3697157.393389415</c:v>
                </c:pt>
                <c:pt idx="3">
                  <c:v>-2804045.1238662265</c:v>
                </c:pt>
                <c:pt idx="4">
                  <c:v>-775664.9223546274</c:v>
                </c:pt>
                <c:pt idx="5">
                  <c:v>931632.78355369717</c:v>
                </c:pt>
                <c:pt idx="6">
                  <c:v>897859.69052258134</c:v>
                </c:pt>
                <c:pt idx="7">
                  <c:v>860357.25168284029</c:v>
                </c:pt>
                <c:pt idx="8">
                  <c:v>818908.53589142859</c:v>
                </c:pt>
                <c:pt idx="9">
                  <c:v>773286.74788349867</c:v>
                </c:pt>
                <c:pt idx="10">
                  <c:v>723254.85391718894</c:v>
                </c:pt>
                <c:pt idx="11">
                  <c:v>668565.19515977055</c:v>
                </c:pt>
                <c:pt idx="12">
                  <c:v>608959.08843111992</c:v>
                </c:pt>
                <c:pt idx="13">
                  <c:v>544166.4139059931</c:v>
                </c:pt>
                <c:pt idx="14">
                  <c:v>473905.18936248869</c:v>
                </c:pt>
                <c:pt idx="15">
                  <c:v>397881.1305482462</c:v>
                </c:pt>
                <c:pt idx="16">
                  <c:v>315787.19722113013</c:v>
                </c:pt>
                <c:pt idx="17">
                  <c:v>189199.04259571154</c:v>
                </c:pt>
                <c:pt idx="18">
                  <c:v>-1432676.367498924</c:v>
                </c:pt>
                <c:pt idx="19">
                  <c:v>-3152034.5813375688</c:v>
                </c:pt>
                <c:pt idx="20">
                  <c:v>2195582.483140938</c:v>
                </c:pt>
                <c:pt idx="21">
                  <c:v>482980.61932212953</c:v>
                </c:pt>
                <c:pt idx="22">
                  <c:v>497470.03790179268</c:v>
                </c:pt>
                <c:pt idx="23">
                  <c:v>512394.13903884869</c:v>
                </c:pt>
                <c:pt idx="24">
                  <c:v>527765.9632100137</c:v>
                </c:pt>
                <c:pt idx="25">
                  <c:v>2468348.9959005918</c:v>
                </c:pt>
                <c:pt idx="26">
                  <c:v>3698008.0249103205</c:v>
                </c:pt>
                <c:pt idx="27">
                  <c:v>3693607.4421215127</c:v>
                </c:pt>
                <c:pt idx="28">
                  <c:v>3685614.6171429558</c:v>
                </c:pt>
                <c:pt idx="29">
                  <c:v>3673817.9759677779</c:v>
                </c:pt>
                <c:pt idx="30">
                  <c:v>1426683.6462954208</c:v>
                </c:pt>
              </c:numCache>
            </c:numRef>
          </c:val>
          <c:smooth val="0"/>
          <c:extLst>
            <c:ext xmlns:c16="http://schemas.microsoft.com/office/drawing/2014/chart" uri="{C3380CC4-5D6E-409C-BE32-E72D297353CC}">
              <c16:uniqueId val="{00000008-BBB5-4054-BE1F-D9598956928F}"/>
            </c:ext>
          </c:extLst>
        </c:ser>
        <c:ser>
          <c:idx val="9"/>
          <c:order val="9"/>
          <c:tx>
            <c:strRef>
              <c:f>'Analysis Results'!$P$4</c:f>
              <c:strCache>
                <c:ptCount val="1"/>
                <c:pt idx="0">
                  <c:v>Hedge 1 -  20 Yr Level % of Pay at 6.5%</c:v>
                </c:pt>
              </c:strCache>
            </c:strRef>
          </c:tx>
          <c:spPr>
            <a:ln>
              <a:solidFill>
                <a:schemeClr val="accent6">
                  <a:lumMod val="75000"/>
                </a:schemeClr>
              </a:solidFill>
            </a:ln>
          </c:spPr>
          <c:marker>
            <c:symbol val="none"/>
          </c:marker>
          <c:cat>
            <c:numRef>
              <c:f>'Analysis Results'!$C$5:$C$35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Results'!$P$5:$P$35</c:f>
              <c:numCache>
                <c:formatCode>_(* #,##0_);_(* \(#,##0\);_(* "-"??_);_(@_)</c:formatCode>
                <c:ptCount val="31"/>
                <c:pt idx="0">
                  <c:v>-9617130.959980119</c:v>
                </c:pt>
                <c:pt idx="1">
                  <c:v>-8900604.9091378413</c:v>
                </c:pt>
                <c:pt idx="2">
                  <c:v>-8145291.5390372947</c:v>
                </c:pt>
                <c:pt idx="3">
                  <c:v>-7385623.293883536</c:v>
                </c:pt>
                <c:pt idx="4">
                  <c:v>-5494690.4374724515</c:v>
                </c:pt>
                <c:pt idx="5">
                  <c:v>-3928963.4970176592</c:v>
                </c:pt>
                <c:pt idx="6">
                  <c:v>-4108554.4784659296</c:v>
                </c:pt>
                <c:pt idx="7">
                  <c:v>-4296249.3423753083</c:v>
                </c:pt>
                <c:pt idx="8">
                  <c:v>-4492396.2559884638</c:v>
                </c:pt>
                <c:pt idx="9">
                  <c:v>-4697357.1877527982</c:v>
                </c:pt>
                <c:pt idx="10">
                  <c:v>-4911508.3997881785</c:v>
                </c:pt>
                <c:pt idx="11">
                  <c:v>-5135240.9561567679</c:v>
                </c:pt>
                <c:pt idx="12">
                  <c:v>-5368961.2474249154</c:v>
                </c:pt>
                <c:pt idx="13">
                  <c:v>-5613091.5320257172</c:v>
                </c:pt>
                <c:pt idx="14">
                  <c:v>-5868070.4949471578</c:v>
                </c:pt>
                <c:pt idx="15">
                  <c:v>-6134353.8242907003</c:v>
                </c:pt>
                <c:pt idx="16">
                  <c:v>-6412414.80626297</c:v>
                </c:pt>
                <c:pt idx="17">
                  <c:v>-6740849.0209929114</c:v>
                </c:pt>
                <c:pt idx="18">
                  <c:v>-8570625.8729951996</c:v>
                </c:pt>
                <c:pt idx="19">
                  <c:v>-10504122.571998727</c:v>
                </c:pt>
                <c:pt idx="20">
                  <c:v>2195582.483140938</c:v>
                </c:pt>
                <c:pt idx="21">
                  <c:v>482980.61932212953</c:v>
                </c:pt>
                <c:pt idx="22">
                  <c:v>497470.03790179268</c:v>
                </c:pt>
                <c:pt idx="23">
                  <c:v>512394.13903884869</c:v>
                </c:pt>
                <c:pt idx="24">
                  <c:v>527765.9632100137</c:v>
                </c:pt>
                <c:pt idx="25">
                  <c:v>2468348.9959005918</c:v>
                </c:pt>
                <c:pt idx="26">
                  <c:v>3698008.0249103205</c:v>
                </c:pt>
                <c:pt idx="27">
                  <c:v>3693607.4421215127</c:v>
                </c:pt>
                <c:pt idx="28">
                  <c:v>3685614.6171429558</c:v>
                </c:pt>
                <c:pt idx="29">
                  <c:v>3673817.9759677779</c:v>
                </c:pt>
                <c:pt idx="30">
                  <c:v>1426683.6462954208</c:v>
                </c:pt>
              </c:numCache>
            </c:numRef>
          </c:val>
          <c:smooth val="0"/>
          <c:extLst>
            <c:ext xmlns:c16="http://schemas.microsoft.com/office/drawing/2014/chart" uri="{C3380CC4-5D6E-409C-BE32-E72D297353CC}">
              <c16:uniqueId val="{00000009-BBB5-4054-BE1F-D9598956928F}"/>
            </c:ext>
          </c:extLst>
        </c:ser>
        <c:ser>
          <c:idx val="10"/>
          <c:order val="10"/>
          <c:tx>
            <c:strRef>
              <c:f>'Analysis Results'!$Q$4</c:f>
              <c:strCache>
                <c:ptCount val="1"/>
                <c:pt idx="0">
                  <c:v>Hedge 2 -  20 Yr Level $ Payment at 6.5%</c:v>
                </c:pt>
              </c:strCache>
            </c:strRef>
          </c:tx>
          <c:spPr>
            <a:ln>
              <a:solidFill>
                <a:schemeClr val="accent3"/>
              </a:solidFill>
            </a:ln>
          </c:spPr>
          <c:marker>
            <c:symbol val="none"/>
          </c:marker>
          <c:val>
            <c:numRef>
              <c:f>'Analysis Results'!$Q$5:$Q$24</c:f>
              <c:numCache>
                <c:formatCode>_(* #,##0_);_(* \(#,##0\);_(* "-"??_);_(@_)</c:formatCode>
                <c:ptCount val="20"/>
                <c:pt idx="0">
                  <c:v>-16222738.77630892</c:v>
                </c:pt>
                <c:pt idx="1">
                  <c:v>-14062017.005362283</c:v>
                </c:pt>
                <c:pt idx="2">
                  <c:v>-11847123.981374741</c:v>
                </c:pt>
                <c:pt idx="3">
                  <c:v>-9241421.8692890294</c:v>
                </c:pt>
                <c:pt idx="4">
                  <c:v>-6214176.1834259294</c:v>
                </c:pt>
                <c:pt idx="5">
                  <c:v>-3478047.0286355838</c:v>
                </c:pt>
                <c:pt idx="6">
                  <c:v>-2452123.7293181866</c:v>
                </c:pt>
                <c:pt idx="7">
                  <c:v>-1398138.884038955</c:v>
                </c:pt>
                <c:pt idx="8">
                  <c:v>-315355.69718787074</c:v>
                </c:pt>
                <c:pt idx="9">
                  <c:v>796981.37452600151</c:v>
                </c:pt>
                <c:pt idx="10">
                  <c:v>1939647.1060731411</c:v>
                </c:pt>
                <c:pt idx="11">
                  <c:v>3113436.0015945807</c:v>
                </c:pt>
                <c:pt idx="12">
                  <c:v>4319162.8057731614</c:v>
                </c:pt>
                <c:pt idx="13">
                  <c:v>5557663.0294824839</c:v>
                </c:pt>
                <c:pt idx="14">
                  <c:v>6829793.4901204482</c:v>
                </c:pt>
                <c:pt idx="15">
                  <c:v>8136432.8670431301</c:v>
                </c:pt>
                <c:pt idx="16">
                  <c:v>9478482.2725250572</c:v>
                </c:pt>
                <c:pt idx="17">
                  <c:v>-32983182.976985298</c:v>
                </c:pt>
                <c:pt idx="18">
                  <c:v>-34408243.060953178</c:v>
                </c:pt>
                <c:pt idx="19">
                  <c:v>-35924881.48888126</c:v>
                </c:pt>
              </c:numCache>
            </c:numRef>
          </c:val>
          <c:smooth val="0"/>
          <c:extLst>
            <c:ext xmlns:c16="http://schemas.microsoft.com/office/drawing/2014/chart" uri="{C3380CC4-5D6E-409C-BE32-E72D297353CC}">
              <c16:uniqueId val="{00000000-CB80-4A94-89D9-AFCAF48ECCDA}"/>
            </c:ext>
          </c:extLst>
        </c:ser>
        <c:dLbls>
          <c:showLegendKey val="0"/>
          <c:showVal val="0"/>
          <c:showCatName val="0"/>
          <c:showSerName val="0"/>
          <c:showPercent val="0"/>
          <c:showBubbleSize val="0"/>
        </c:dLbls>
        <c:smooth val="0"/>
        <c:axId val="163364224"/>
        <c:axId val="163370112"/>
        <c:extLst>
          <c:ext xmlns:c15="http://schemas.microsoft.com/office/drawing/2012/chart" uri="{02D57815-91ED-43cb-92C2-25804820EDAC}">
            <c15:filteredLineSeries>
              <c15:ser>
                <c:idx val="0"/>
                <c:order val="0"/>
                <c:tx>
                  <c:strRef>
                    <c:extLst>
                      <c:ext uri="{02D57815-91ED-43cb-92C2-25804820EDAC}">
                        <c15:formulaRef>
                          <c15:sqref>'Analysis Results'!$I$4</c15:sqref>
                        </c15:formulaRef>
                      </c:ext>
                    </c:extLst>
                    <c:strCache>
                      <c:ptCount val="1"/>
                      <c:pt idx="0">
                        <c:v>Default UL  Including Known Losses Phased In</c:v>
                      </c:pt>
                    </c:strCache>
                  </c:strRef>
                </c:tx>
                <c:marker>
                  <c:symbol val="none"/>
                </c:marker>
                <c:cat>
                  <c:numRef>
                    <c:extLst>
                      <c:ex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c:ext uri="{02D57815-91ED-43cb-92C2-25804820EDAC}">
                        <c15:formulaRef>
                          <c15:sqref>'Analysis Results'!$I$5:$I$35</c15:sqref>
                        </c15:formulaRef>
                      </c:ext>
                    </c:extLst>
                    <c:numCache>
                      <c:formatCode>_(* #,##0_);_(* \(#,##0\);_(* "-"??_);_(@_)</c:formatCode>
                      <c:ptCount val="31"/>
                      <c:pt idx="0">
                        <c:v>341111128.70063865</c:v>
                      </c:pt>
                      <c:pt idx="1">
                        <c:v>367205316.48542702</c:v>
                      </c:pt>
                      <c:pt idx="2">
                        <c:v>366452604.42382401</c:v>
                      </c:pt>
                      <c:pt idx="3">
                        <c:v>364251050.24551433</c:v>
                      </c:pt>
                      <c:pt idx="4">
                        <c:v>360370048.57055718</c:v>
                      </c:pt>
                      <c:pt idx="5">
                        <c:v>353047054.75703007</c:v>
                      </c:pt>
                      <c:pt idx="6">
                        <c:v>342337135.70698458</c:v>
                      </c:pt>
                      <c:pt idx="7">
                        <c:v>328888742.35388076</c:v>
                      </c:pt>
                      <c:pt idx="8">
                        <c:v>312725534.51631033</c:v>
                      </c:pt>
                      <c:pt idx="9">
                        <c:v>294255339.53603971</c:v>
                      </c:pt>
                      <c:pt idx="10">
                        <c:v>273281401.43525779</c:v>
                      </c:pt>
                      <c:pt idx="11">
                        <c:v>249592133.31137201</c:v>
                      </c:pt>
                      <c:pt idx="12">
                        <c:v>222960047.43208358</c:v>
                      </c:pt>
                      <c:pt idx="13">
                        <c:v>193140609.48491237</c:v>
                      </c:pt>
                      <c:pt idx="14">
                        <c:v>159871011.6434167</c:v>
                      </c:pt>
                      <c:pt idx="15">
                        <c:v>122868858.73785317</c:v>
                      </c:pt>
                      <c:pt idx="16">
                        <c:v>81830761.417282075</c:v>
                      </c:pt>
                      <c:pt idx="17">
                        <c:v>36430829.761304393</c:v>
                      </c:pt>
                      <c:pt idx="18">
                        <c:v>30451388.735848606</c:v>
                      </c:pt>
                      <c:pt idx="19">
                        <c:v>24648247.004398748</c:v>
                      </c:pt>
                      <c:pt idx="20">
                        <c:v>20005379.864066087</c:v>
                      </c:pt>
                      <c:pt idx="21">
                        <c:v>16516642.499801524</c:v>
                      </c:pt>
                      <c:pt idx="22">
                        <c:v>14947292.50750396</c:v>
                      </c:pt>
                      <c:pt idx="23">
                        <c:v>14464674.546735369</c:v>
                      </c:pt>
                      <c:pt idx="24">
                        <c:v>14947177.146256115</c:v>
                      </c:pt>
                      <c:pt idx="25">
                        <c:v>15447554.189180791</c:v>
                      </c:pt>
                      <c:pt idx="26">
                        <c:v>13975602.927444577</c:v>
                      </c:pt>
                      <c:pt idx="27">
                        <c:v>11128645.887288693</c:v>
                      </c:pt>
                      <c:pt idx="28">
                        <c:v>8086953.8525537541</c:v>
                      </c:pt>
                      <c:pt idx="29">
                        <c:v>4840611.2178338747</c:v>
                      </c:pt>
                      <c:pt idx="30">
                        <c:v>1379227.1391988057</c:v>
                      </c:pt>
                    </c:numCache>
                  </c:numRef>
                </c:val>
                <c:smooth val="0"/>
                <c:extLst>
                  <c:ext xmlns:c16="http://schemas.microsoft.com/office/drawing/2014/chart" uri="{C3380CC4-5D6E-409C-BE32-E72D297353CC}">
                    <c16:uniqueId val="{00000000-BBB5-4054-BE1F-D9598956928F}"/>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[2]ChartData!$E$9</c15:sqref>
                        </c15:formulaRef>
                      </c:ext>
                    </c:extLst>
                    <c:strCache>
                      <c:ptCount val="1"/>
                      <c:pt idx="0">
                        <c:v>19 Yr</c:v>
                      </c:pt>
                    </c:strCache>
                  </c:strRef>
                </c:tx>
                <c:marker>
                  <c:symbol val="none"/>
                </c:marker>
                <c:cat>
                  <c:numRef>
                    <c:extLst xmlns:c15="http://schemas.microsoft.com/office/drawing/2012/chart">
                      <c:ext xmlns:c15="http://schemas.microsoft.com/office/drawing/2012/char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xmlns:c15="http://schemas.microsoft.com/office/drawing/2012/chart">
                      <c:ext xmlns:c15="http://schemas.microsoft.com/office/drawing/2012/chart" uri="{02D57815-91ED-43cb-92C2-25804820EDAC}">
                        <c15:formulaRef>
                          <c15:sqref>[2]ChartData!$E$10:$E$29</c15:sqref>
                        </c15:formulaRef>
                      </c:ext>
                    </c:extLst>
                    <c:numCache>
                      <c:formatCode>General</c:formatCode>
                      <c:ptCount val="20"/>
                      <c:pt idx="0">
                        <c:v>21.298001712364282</c:v>
                      </c:pt>
                      <c:pt idx="1">
                        <c:v>21.936941763735213</c:v>
                      </c:pt>
                      <c:pt idx="2">
                        <c:v>22.595050016647267</c:v>
                      </c:pt>
                      <c:pt idx="3">
                        <c:v>23.272901517146693</c:v>
                      </c:pt>
                      <c:pt idx="4">
                        <c:v>23.971088562661087</c:v>
                      </c:pt>
                      <c:pt idx="5">
                        <c:v>24.690221219540923</c:v>
                      </c:pt>
                      <c:pt idx="6">
                        <c:v>25.430927856127152</c:v>
                      </c:pt>
                      <c:pt idx="7">
                        <c:v>26.193855691810967</c:v>
                      </c:pt>
                      <c:pt idx="8">
                        <c:v>26.979671362565295</c:v>
                      </c:pt>
                      <c:pt idx="9">
                        <c:v>27.789061503442255</c:v>
                      </c:pt>
                      <c:pt idx="10">
                        <c:v>28.622733348545513</c:v>
                      </c:pt>
                      <c:pt idx="11">
                        <c:v>29.481415349001885</c:v>
                      </c:pt>
                      <c:pt idx="12">
                        <c:v>30.365857809471944</c:v>
                      </c:pt>
                      <c:pt idx="13">
                        <c:v>31.276833543756098</c:v>
                      </c:pt>
                      <c:pt idx="14">
                        <c:v>32.215138550068794</c:v>
                      </c:pt>
                      <c:pt idx="15">
                        <c:v>33.181592706570846</c:v>
                      </c:pt>
                      <c:pt idx="16">
                        <c:v>34.177040487767982</c:v>
                      </c:pt>
                      <c:pt idx="17">
                        <c:v>35.20235170240101</c:v>
                      </c:pt>
                      <c:pt idx="18">
                        <c:v>36.258422253473057</c:v>
                      </c:pt>
                      <c:pt idx="19">
                        <c:v>0</c:v>
                      </c:pt>
                    </c:numCache>
                  </c:numRef>
                </c:val>
                <c:smooth val="0"/>
                <c:extLst xmlns:c15="http://schemas.microsoft.com/office/drawing/2012/chart">
                  <c:ext xmlns:c16="http://schemas.microsoft.com/office/drawing/2014/chart" uri="{C3380CC4-5D6E-409C-BE32-E72D297353CC}">
                    <c16:uniqueId val="{00000003-BBB5-4054-BE1F-D9598956928F}"/>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[2]ChartData!$F$9</c15:sqref>
                        </c15:formulaRef>
                      </c:ext>
                    </c:extLst>
                    <c:strCache>
                      <c:ptCount val="1"/>
                      <c:pt idx="0">
                        <c:v>15 Yr</c:v>
                      </c:pt>
                    </c:strCache>
                  </c:strRef>
                </c:tx>
                <c:marker>
                  <c:symbol val="none"/>
                </c:marker>
                <c:cat>
                  <c:numRef>
                    <c:extLst xmlns:c15="http://schemas.microsoft.com/office/drawing/2012/chart">
                      <c:ext xmlns:c15="http://schemas.microsoft.com/office/drawing/2012/char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xmlns:c15="http://schemas.microsoft.com/office/drawing/2012/chart">
                      <c:ext xmlns:c15="http://schemas.microsoft.com/office/drawing/2012/chart" uri="{02D57815-91ED-43cb-92C2-25804820EDAC}">
                        <c15:formulaRef>
                          <c15:sqref>[2]ChartData!$F$10:$F$25</c15:sqref>
                        </c15:formulaRef>
                      </c:ext>
                    </c:extLst>
                    <c:numCache>
                      <c:formatCode>General</c:formatCode>
                      <c:ptCount val="16"/>
                      <c:pt idx="0">
                        <c:v>25.021836489826942</c:v>
                      </c:pt>
                      <c:pt idx="1">
                        <c:v>25.772491584521756</c:v>
                      </c:pt>
                      <c:pt idx="2">
                        <c:v>26.545666332057408</c:v>
                      </c:pt>
                      <c:pt idx="3">
                        <c:v>27.342036322019126</c:v>
                      </c:pt>
                      <c:pt idx="4">
                        <c:v>28.162297411679699</c:v>
                      </c:pt>
                      <c:pt idx="5">
                        <c:v>29.007166334030099</c:v>
                      </c:pt>
                      <c:pt idx="6">
                        <c:v>29.877381324050994</c:v>
                      </c:pt>
                      <c:pt idx="7">
                        <c:v>30.77370276377253</c:v>
                      </c:pt>
                      <c:pt idx="8">
                        <c:v>31.6969138466857</c:v>
                      </c:pt>
                      <c:pt idx="9">
                        <c:v>32.647821262086275</c:v>
                      </c:pt>
                      <c:pt idx="10">
                        <c:v>33.627255899948864</c:v>
                      </c:pt>
                      <c:pt idx="11">
                        <c:v>34.636073576947332</c:v>
                      </c:pt>
                      <c:pt idx="12">
                        <c:v>35.675155784255757</c:v>
                      </c:pt>
                      <c:pt idx="13">
                        <c:v>36.745410457783429</c:v>
                      </c:pt>
                      <c:pt idx="14">
                        <c:v>37.847772771516937</c:v>
                      </c:pt>
                      <c:pt idx="15">
                        <c:v>0</c:v>
                      </c:pt>
                    </c:numCache>
                  </c:numRef>
                </c:val>
                <c:smooth val="0"/>
                <c:extLst xmlns:c15="http://schemas.microsoft.com/office/drawing/2012/chart">
                  <c:ext xmlns:c16="http://schemas.microsoft.com/office/drawing/2014/chart" uri="{C3380CC4-5D6E-409C-BE32-E72D297353CC}">
                    <c16:uniqueId val="{00000004-BBB5-4054-BE1F-D9598956928F}"/>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[2]ChartData!$G$9</c15:sqref>
                        </c15:formulaRef>
                      </c:ext>
                    </c:extLst>
                    <c:strCache>
                      <c:ptCount val="1"/>
                      <c:pt idx="0">
                        <c:v>10 Yr</c:v>
                      </c:pt>
                    </c:strCache>
                  </c:strRef>
                </c:tx>
                <c:marker>
                  <c:symbol val="none"/>
                </c:marker>
                <c:cat>
                  <c:numRef>
                    <c:extLst xmlns:c15="http://schemas.microsoft.com/office/drawing/2012/chart">
                      <c:ext xmlns:c15="http://schemas.microsoft.com/office/drawing/2012/char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xmlns:c15="http://schemas.microsoft.com/office/drawing/2012/chart">
                      <c:ext xmlns:c15="http://schemas.microsoft.com/office/drawing/2012/chart" uri="{02D57815-91ED-43cb-92C2-25804820EDAC}">
                        <c15:formulaRef>
                          <c15:sqref>[2]ChartData!$G$10:$G$20</c15:sqref>
                        </c15:formulaRef>
                      </c:ext>
                    </c:extLst>
                    <c:numCache>
                      <c:formatCode>General</c:formatCode>
                      <c:ptCount val="11"/>
                      <c:pt idx="0">
                        <c:v>34.048513696807483</c:v>
                      </c:pt>
                      <c:pt idx="1">
                        <c:v>35.0699691077117</c:v>
                      </c:pt>
                      <c:pt idx="2">
                        <c:v>36.12206818094306</c:v>
                      </c:pt>
                      <c:pt idx="3">
                        <c:v>37.205730226371344</c:v>
                      </c:pt>
                      <c:pt idx="4">
                        <c:v>38.321902133162482</c:v>
                      </c:pt>
                      <c:pt idx="5">
                        <c:v>39.471559197157376</c:v>
                      </c:pt>
                      <c:pt idx="6">
                        <c:v>40.655705973072102</c:v>
                      </c:pt>
                      <c:pt idx="7">
                        <c:v>41.875377152264264</c:v>
                      </c:pt>
                      <c:pt idx="8">
                        <c:v>43.131638466832186</c:v>
                      </c:pt>
                      <c:pt idx="9">
                        <c:v>44.425587620837149</c:v>
                      </c:pt>
                      <c:pt idx="10">
                        <c:v>0</c:v>
                      </c:pt>
                    </c:numCache>
                  </c:numRef>
                </c:val>
                <c:smooth val="0"/>
                <c:extLst xmlns:c15="http://schemas.microsoft.com/office/drawing/2012/chart">
                  <c:ext xmlns:c16="http://schemas.microsoft.com/office/drawing/2014/chart" uri="{C3380CC4-5D6E-409C-BE32-E72D297353CC}">
                    <c16:uniqueId val="{00000005-BBB5-4054-BE1F-D9598956928F}"/>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'Analysis Results'!$E$4</c15:sqref>
                        </c15:formulaRef>
                      </c:ext>
                    </c:extLst>
                    <c:strCache>
                      <c:ptCount val="1"/>
                      <c:pt idx="0">
                        <c:v>Alt 1 - 20 Yr Level % of Pay at 7% </c:v>
                      </c:pt>
                    </c:strCache>
                  </c:strRef>
                </c:tx>
                <c:marker>
                  <c:symbol val="none"/>
                </c:marker>
                <c:cat>
                  <c:numRef>
                    <c:extLst xmlns:c15="http://schemas.microsoft.com/office/drawing/2012/chart">
                      <c:ext xmlns:c15="http://schemas.microsoft.com/office/drawing/2012/char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xmlns:c15="http://schemas.microsoft.com/office/drawing/2012/chart">
                      <c:ext xmlns:c15="http://schemas.microsoft.com/office/drawing/2012/chart" uri="{02D57815-91ED-43cb-92C2-25804820EDAC}">
                        <c15:formulaRef>
                          <c15:sqref>'Analysis Results'!$E$5:$E$35</c15:sqref>
                        </c15:formulaRef>
                      </c:ext>
                    </c:extLst>
                    <c:numCache>
                      <c:formatCode>_(* #,##0_);_(* \(#,##0\);_(* "-"??_);_(@_)</c:formatCode>
                      <c:ptCount val="31"/>
                      <c:pt idx="0">
                        <c:v>30470113.894000754</c:v>
                      </c:pt>
                      <c:pt idx="1">
                        <c:v>31384217.310820784</c:v>
                      </c:pt>
                      <c:pt idx="2">
                        <c:v>32325743.8301454</c:v>
                      </c:pt>
                      <c:pt idx="3">
                        <c:v>33295516.145049766</c:v>
                      </c:pt>
                      <c:pt idx="4">
                        <c:v>34294381.629401267</c:v>
                      </c:pt>
                      <c:pt idx="5">
                        <c:v>35323213.078283295</c:v>
                      </c:pt>
                      <c:pt idx="6">
                        <c:v>36382909.470631793</c:v>
                      </c:pt>
                      <c:pt idx="7">
                        <c:v>37474396.754750766</c:v>
                      </c:pt>
                      <c:pt idx="8">
                        <c:v>38598628.657393269</c:v>
                      </c:pt>
                      <c:pt idx="9">
                        <c:v>39756587.517115071</c:v>
                      </c:pt>
                      <c:pt idx="10">
                        <c:v>40949285.142628521</c:v>
                      </c:pt>
                      <c:pt idx="11">
                        <c:v>42177763.696907379</c:v>
                      </c:pt>
                      <c:pt idx="12">
                        <c:v>43443096.60781461</c:v>
                      </c:pt>
                      <c:pt idx="13">
                        <c:v>44746389.506049052</c:v>
                      </c:pt>
                      <c:pt idx="14">
                        <c:v>46088781.191230521</c:v>
                      </c:pt>
                      <c:pt idx="15">
                        <c:v>47471444.626967445</c:v>
                      </c:pt>
                      <c:pt idx="16">
                        <c:v>48895587.965776488</c:v>
                      </c:pt>
                      <c:pt idx="17">
                        <c:v>6560510.8708915673</c:v>
                      </c:pt>
                      <c:pt idx="18">
                        <c:v>6757326.1970183151</c:v>
                      </c:pt>
                      <c:pt idx="19">
                        <c:v>6960045.9829288591</c:v>
                      </c:pt>
                    </c:numCache>
                  </c:numRef>
                </c:val>
                <c:smooth val="0"/>
                <c:extLst xmlns:c15="http://schemas.microsoft.com/office/drawing/2012/chart">
                  <c:ext xmlns:c16="http://schemas.microsoft.com/office/drawing/2014/chart" uri="{C3380CC4-5D6E-409C-BE32-E72D297353CC}">
                    <c16:uniqueId val="{00000006-BBB5-4054-BE1F-D9598956928F}"/>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'Analysis Results'!$G$4</c15:sqref>
                        </c15:formulaRef>
                      </c:ext>
                    </c:extLst>
                    <c:strCache>
                      <c:ptCount val="1"/>
                      <c:pt idx="0">
                        <c:v>Hedge 1 -  20 Yr Level % of Pay at 6.5%</c:v>
                      </c:pt>
                    </c:strCache>
                  </c:strRef>
                </c:tx>
                <c:marker>
                  <c:symbol val="none"/>
                </c:marker>
                <c:cat>
                  <c:numRef>
                    <c:extLst xmlns:c15="http://schemas.microsoft.com/office/drawing/2012/chart">
                      <c:ext xmlns:c15="http://schemas.microsoft.com/office/drawing/2012/char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xmlns:c15="http://schemas.microsoft.com/office/drawing/2012/chart">
                      <c:ext xmlns:c15="http://schemas.microsoft.com/office/drawing/2012/chart" uri="{02D57815-91ED-43cb-92C2-25804820EDAC}">
                        <c15:formulaRef>
                          <c15:sqref>'Analysis Results'!$G$5:$G$25</c15:sqref>
                        </c15:formulaRef>
                      </c:ext>
                    </c:extLst>
                    <c:numCache>
                      <c:formatCode>_(* #,##0_);_(* \(#,##0\);_(* "-"??_);_(@_)</c:formatCode>
                      <c:ptCount val="21"/>
                      <c:pt idx="0">
                        <c:v>34662906.94296661</c:v>
                      </c:pt>
                      <c:pt idx="1">
                        <c:v>35702794.151255608</c:v>
                      </c:pt>
                      <c:pt idx="2">
                        <c:v>36773877.97579328</c:v>
                      </c:pt>
                      <c:pt idx="3">
                        <c:v>37877094.315067075</c:v>
                      </c:pt>
                      <c:pt idx="4">
                        <c:v>39013407.144519091</c:v>
                      </c:pt>
                      <c:pt idx="5">
                        <c:v>40183809.358854651</c:v>
                      </c:pt>
                      <c:pt idx="6">
                        <c:v>41389323.639620304</c:v>
                      </c:pt>
                      <c:pt idx="7">
                        <c:v>42631003.348808914</c:v>
                      </c:pt>
                      <c:pt idx="8">
                        <c:v>43909933.449273162</c:v>
                      </c:pt>
                      <c:pt idx="9">
                        <c:v>45227231.452751368</c:v>
                      </c:pt>
                      <c:pt idx="10">
                        <c:v>46584048.396333888</c:v>
                      </c:pt>
                      <c:pt idx="11">
                        <c:v>47981569.848223917</c:v>
                      </c:pt>
                      <c:pt idx="12">
                        <c:v>49421016.943670645</c:v>
                      </c:pt>
                      <c:pt idx="13">
                        <c:v>50903647.451980762</c:v>
                      </c:pt>
                      <c:pt idx="14">
                        <c:v>52430756.875540167</c:v>
                      </c:pt>
                      <c:pt idx="15">
                        <c:v>54003679.581806391</c:v>
                      </c:pt>
                      <c:pt idx="16">
                        <c:v>55623789.969260588</c:v>
                      </c:pt>
                      <c:pt idx="17">
                        <c:v>13490558.93448019</c:v>
                      </c:pt>
                      <c:pt idx="18">
                        <c:v>13895275.702514591</c:v>
                      </c:pt>
                      <c:pt idx="19">
                        <c:v>14312133.973590016</c:v>
                      </c:pt>
                    </c:numCache>
                  </c:numRef>
                </c:val>
                <c:smooth val="0"/>
                <c:extLst xmlns:c15="http://schemas.microsoft.com/office/drawing/2012/chart">
                  <c:ext xmlns:c16="http://schemas.microsoft.com/office/drawing/2014/chart" uri="{C3380CC4-5D6E-409C-BE32-E72D297353CC}">
                    <c16:uniqueId val="{00000007-BBB5-4054-BE1F-D9598956928F}"/>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'Analysis Results'!$J$4</c15:sqref>
                        </c15:formulaRef>
                      </c:ext>
                    </c:extLst>
                    <c:strCache>
                      <c:ptCount val="1"/>
                      <c:pt idx="0">
                        <c:v>Alt 1 - 20 Yr Level % of Pay at 7% </c:v>
                      </c:pt>
                    </c:strCache>
                  </c:strRef>
                </c:tx>
                <c:marker>
                  <c:symbol val="none"/>
                </c:marker>
                <c:cat>
                  <c:numRef>
                    <c:extLst xmlns:c15="http://schemas.microsoft.com/office/drawing/2012/chart">
                      <c:ext xmlns:c15="http://schemas.microsoft.com/office/drawing/2012/char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xmlns:c15="http://schemas.microsoft.com/office/drawing/2012/chart">
                      <c:ext xmlns:c15="http://schemas.microsoft.com/office/drawing/2012/chart" uri="{02D57815-91ED-43cb-92C2-25804820EDAC}">
                        <c15:formulaRef>
                          <c15:sqref>'Analysis Results'!$J$5:$J$35</c15:sqref>
                        </c15:formulaRef>
                      </c:ext>
                    </c:extLst>
                    <c:numCache>
                      <c:formatCode>_(* #,##0_);_(* \(#,##0\);_(* "-"??_);_(@_)</c:formatCode>
                      <c:ptCount val="31"/>
                      <c:pt idx="0">
                        <c:v>371856729.09223366</c:v>
                      </c:pt>
                      <c:pt idx="1">
                        <c:v>367685784.02256763</c:v>
                      </c:pt>
                      <c:pt idx="2">
                        <c:v>362257195.01925772</c:v>
                      </c:pt>
                      <c:pt idx="3">
                        <c:v>355449482.90141702</c:v>
                      </c:pt>
                      <c:pt idx="4">
                        <c:v>347131326.08941782</c:v>
                      </c:pt>
                      <c:pt idx="5">
                        <c:v>337160806.30632949</c:v>
                      </c:pt>
                      <c:pt idx="6">
                        <c:v>325384597.6311633</c:v>
                      </c:pt>
                      <c:pt idx="7">
                        <c:v>311637094.68158257</c:v>
                      </c:pt>
                      <c:pt idx="8">
                        <c:v>295739475.38983941</c:v>
                      </c:pt>
                      <c:pt idx="9">
                        <c:v>277498693.49849856</c:v>
                      </c:pt>
                      <c:pt idx="10">
                        <c:v>256706395.54024324</c:v>
                      </c:pt>
                      <c:pt idx="11">
                        <c:v>233137756.67689437</c:v>
                      </c:pt>
                      <c:pt idx="12">
                        <c:v>206550229.3546856</c:v>
                      </c:pt>
                      <c:pt idx="13">
                        <c:v>176682198.28370243</c:v>
                      </c:pt>
                      <c:pt idx="14">
                        <c:v>143251534.76687908</c:v>
                      </c:pt>
                      <c:pt idx="15">
                        <c:v>105954042.88559826</c:v>
                      </c:pt>
                      <c:pt idx="16">
                        <c:v>64461789.492071159</c:v>
                      </c:pt>
                      <c:pt idx="17">
                        <c:v>18421309.360440724</c:v>
                      </c:pt>
                      <c:pt idx="18">
                        <c:v>12866499.112638876</c:v>
                      </c:pt>
                      <c:pt idx="19">
                        <c:v>6740631.8092029039</c:v>
                      </c:pt>
                      <c:pt idx="20">
                        <c:v>0</c:v>
                      </c:pt>
                    </c:numCache>
                  </c:numRef>
                </c:val>
                <c:smooth val="0"/>
                <c:extLst xmlns:c15="http://schemas.microsoft.com/office/drawing/2012/chart">
                  <c:ext xmlns:c16="http://schemas.microsoft.com/office/drawing/2014/chart" uri="{C3380CC4-5D6E-409C-BE32-E72D297353CC}">
                    <c16:uniqueId val="{00000001-BBB5-4054-BE1F-D9598956928F}"/>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'Analysis Results'!$L$4</c15:sqref>
                        </c15:formulaRef>
                      </c:ext>
                    </c:extLst>
                    <c:strCache>
                      <c:ptCount val="1"/>
                      <c:pt idx="0">
                        <c:v>Hedge 1 -  20 Yr Level % of Pay at 6.5%</c:v>
                      </c:pt>
                    </c:strCache>
                  </c:strRef>
                </c:tx>
                <c:marker>
                  <c:symbol val="none"/>
                </c:marker>
                <c:cat>
                  <c:numRef>
                    <c:extLst xmlns:c15="http://schemas.microsoft.com/office/drawing/2012/chart">
                      <c:ext xmlns:c15="http://schemas.microsoft.com/office/drawing/2012/chart" uri="{02D57815-91ED-43cb-92C2-25804820EDAC}">
                        <c15:formulaRef>
                          <c15:sqref>'Analysis Results'!$C$5:$C$35</c15:sqref>
                        </c15:formulaRef>
                      </c:ext>
                    </c:extLst>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extLst xmlns:c15="http://schemas.microsoft.com/office/drawing/2012/chart">
                      <c:ext xmlns:c15="http://schemas.microsoft.com/office/drawing/2012/chart" uri="{02D57815-91ED-43cb-92C2-25804820EDAC}">
                        <c15:formulaRef>
                          <c15:sqref>'Analysis Results'!$L$5:$L$35</c15:sqref>
                        </c15:formulaRef>
                      </c:ext>
                    </c:extLst>
                    <c:numCache>
                      <c:formatCode>_(* #,##0_);_(* \(#,##0\);_(* "-"??_);_(@_)</c:formatCode>
                      <c:ptCount val="31"/>
                      <c:pt idx="0">
                        <c:v>436202985.07175374</c:v>
                      </c:pt>
                      <c:pt idx="1">
                        <c:v>431420174.13775355</c:v>
                      </c:pt>
                      <c:pt idx="2">
                        <c:v>425213078.51705289</c:v>
                      </c:pt>
                      <c:pt idx="3">
                        <c:v>417446768.50870538</c:v>
                      </c:pt>
                      <c:pt idx="4">
                        <c:v>407975602.26003647</c:v>
                      </c:pt>
                      <c:pt idx="5">
                        <c:v>396642420.88625044</c:v>
                      </c:pt>
                      <c:pt idx="6">
                        <c:v>383277684.2396785</c:v>
                      </c:pt>
                      <c:pt idx="7">
                        <c:v>367698542.97674465</c:v>
                      </c:pt>
                      <c:pt idx="8">
                        <c:v>349707842.25178957</c:v>
                      </c:pt>
                      <c:pt idx="9">
                        <c:v>329093052.02455091</c:v>
                      </c:pt>
                      <c:pt idx="10">
                        <c:v>305625118.60062969</c:v>
                      </c:pt>
                      <c:pt idx="11">
                        <c:v>279057231.62983155</c:v>
                      </c:pt>
                      <c:pt idx="12">
                        <c:v>249123500.36386788</c:v>
                      </c:pt>
                      <c:pt idx="13">
                        <c:v>215537532.52041602</c:v>
                      </c:pt>
                      <c:pt idx="14">
                        <c:v>177990908.61266738</c:v>
                      </c:pt>
                      <c:pt idx="15">
                        <c:v>136151544.07979918</c:v>
                      </c:pt>
                      <c:pt idx="16">
                        <c:v>89661930.991634846</c:v>
                      </c:pt>
                      <c:pt idx="17">
                        <c:v>38137250.4972945</c:v>
                      </c:pt>
                      <c:pt idx="18">
                        <c:v>26578169.446592622</c:v>
                      </c:pt>
                      <c:pt idx="19">
                        <c:v>13892752.882133888</c:v>
                      </c:pt>
                      <c:pt idx="20">
                        <c:v>0</c:v>
                      </c:pt>
                    </c:numCache>
                  </c:numRef>
                </c:val>
                <c:smooth val="0"/>
                <c:extLst xmlns:c15="http://schemas.microsoft.com/office/drawing/2012/chart">
                  <c:ext xmlns:c16="http://schemas.microsoft.com/office/drawing/2014/chart" uri="{C3380CC4-5D6E-409C-BE32-E72D297353CC}">
                    <c16:uniqueId val="{00000002-BBB5-4054-BE1F-D9598956928F}"/>
                  </c:ext>
                </c:extLst>
              </c15:ser>
            </c15:filteredLineSeries>
          </c:ext>
        </c:extLst>
      </c:lineChart>
      <c:catAx>
        <c:axId val="163364224"/>
        <c:scaling>
          <c:orientation val="minMax"/>
        </c:scaling>
        <c:delete val="0"/>
        <c:axPos val="b"/>
        <c:numFmt formatCode="General" sourceLinked="1"/>
        <c:majorTickMark val="out"/>
        <c:minorTickMark val="none"/>
        <c:tickLblPos val="nextTo"/>
        <c:txPr>
          <a:bodyPr rot="5400000" vert="horz"/>
          <a:lstStyle/>
          <a:p>
            <a:pPr>
              <a:defRPr sz="1100" baseline="0">
                <a:latin typeface="Arial" panose="020B0604020202020204" pitchFamily="34" charset="0"/>
              </a:defRPr>
            </a:pPr>
            <a:endParaRPr lang="en-US"/>
          </a:p>
        </c:txPr>
        <c:crossAx val="163370112"/>
        <c:crosses val="autoZero"/>
        <c:auto val="1"/>
        <c:lblAlgn val="ctr"/>
        <c:lblOffset val="100"/>
        <c:tickLblSkip val="2"/>
        <c:tickMarkSkip val="1"/>
        <c:noMultiLvlLbl val="0"/>
      </c:catAx>
      <c:valAx>
        <c:axId val="163370112"/>
        <c:scaling>
          <c:orientation val="minMax"/>
        </c:scaling>
        <c:delete val="0"/>
        <c:axPos val="l"/>
        <c:majorGridlines/>
        <c:numFmt formatCode="&quot;$&quot;#,##0" sourceLinked="0"/>
        <c:majorTickMark val="none"/>
        <c:minorTickMark val="none"/>
        <c:tickLblPos val="low"/>
        <c:spPr>
          <a:ln w="9525">
            <a:noFill/>
          </a:ln>
        </c:spPr>
        <c:crossAx val="163364224"/>
        <c:crossesAt val="2"/>
        <c:crossBetween val="midCat"/>
      </c:valAx>
    </c:plotArea>
    <c:legend>
      <c:legendPos val="b"/>
      <c:layout>
        <c:manualLayout>
          <c:xMode val="edge"/>
          <c:yMode val="edge"/>
          <c:x val="0.30331351546643714"/>
          <c:y val="0.86913695795694246"/>
          <c:w val="0.69668648453356286"/>
          <c:h val="5.1233241646893087E-2"/>
        </c:manualLayout>
      </c:layout>
      <c:overlay val="0"/>
      <c:txPr>
        <a:bodyPr/>
        <a:lstStyle/>
        <a:p>
          <a:pPr>
            <a:defRPr sz="1200"/>
          </a:pPr>
          <a:endParaRPr lang="en-US"/>
        </a:p>
      </c:txPr>
    </c:legend>
    <c:plotVisOnly val="1"/>
    <c:dispBlanksAs val="gap"/>
    <c:showDLblsOverMax val="0"/>
  </c:chart>
  <c:spPr>
    <a:solidFill>
      <a:srgbClr val="FBFBFB"/>
    </a:solidFill>
    <a:ln>
      <a:noFill/>
    </a:ln>
    <a:effectLst>
      <a:outerShdw blurRad="50800" dist="38100" dir="5400000" algn="t" rotWithShape="0">
        <a:prstClr val="black">
          <a:alpha val="40000"/>
        </a:prstClr>
      </a:outerShdw>
    </a:effectLst>
  </c:spPr>
  <c:printSettings>
    <c:headerFooter/>
    <c:pageMargins b="0.75" l="0.7" r="0.7" t="0.75" header="0.3" footer="0.3"/>
    <c:pageSetup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b="1"/>
              <a:t>Payment</a:t>
            </a:r>
            <a:r>
              <a:rPr lang="en-US" sz="2000" b="1" baseline="0"/>
              <a:t> Options as a Percentage of Estimated Revenues</a:t>
            </a:r>
            <a:endParaRPr lang="en-US" sz="2000" b="1"/>
          </a:p>
        </c:rich>
      </c:tx>
      <c:layout>
        <c:manualLayout>
          <c:xMode val="edge"/>
          <c:yMode val="edge"/>
          <c:x val="0.22967548289776607"/>
          <c:y val="4.2834647439793642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8563588642328805E-2"/>
          <c:y val="0.18220788154702219"/>
          <c:w val="0.90763063707945602"/>
          <c:h val="0.58881506999125111"/>
        </c:manualLayout>
      </c:layout>
      <c:lineChart>
        <c:grouping val="standard"/>
        <c:varyColors val="0"/>
        <c:ser>
          <c:idx val="1"/>
          <c:order val="0"/>
          <c:tx>
            <c:strRef>
              <c:f>'Analysis Results'!$V$4</c:f>
              <c:strCache>
                <c:ptCount val="1"/>
                <c:pt idx="0">
                  <c:v> Default UL Payment  Including Known Losses Phased In </c:v>
                </c:pt>
              </c:strCache>
            </c:strRef>
          </c:tx>
          <c:spPr>
            <a:ln w="28575" cap="rnd">
              <a:solidFill>
                <a:schemeClr val="accent2"/>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16-A851-4EAF-B9D9-3898AD8618A6}"/>
                </c:ext>
              </c:extLst>
            </c:dLbl>
            <c:dLbl>
              <c:idx val="3"/>
              <c:delete val="1"/>
              <c:extLst>
                <c:ext xmlns:c15="http://schemas.microsoft.com/office/drawing/2012/chart" uri="{CE6537A1-D6FC-4f65-9D91-7224C49458BB}"/>
                <c:ext xmlns:c16="http://schemas.microsoft.com/office/drawing/2014/chart" uri="{C3380CC4-5D6E-409C-BE32-E72D297353CC}">
                  <c16:uniqueId val="{00000017-A851-4EAF-B9D9-3898AD8618A6}"/>
                </c:ext>
              </c:extLst>
            </c:dLbl>
            <c:dLbl>
              <c:idx val="4"/>
              <c:delete val="1"/>
              <c:extLst>
                <c:ext xmlns:c15="http://schemas.microsoft.com/office/drawing/2012/chart" uri="{CE6537A1-D6FC-4f65-9D91-7224C49458BB}"/>
                <c:ext xmlns:c16="http://schemas.microsoft.com/office/drawing/2014/chart" uri="{C3380CC4-5D6E-409C-BE32-E72D297353CC}">
                  <c16:uniqueId val="{00000020-A851-4EAF-B9D9-3898AD8618A6}"/>
                </c:ext>
              </c:extLst>
            </c:dLbl>
            <c:dLbl>
              <c:idx val="5"/>
              <c:delete val="1"/>
              <c:extLst>
                <c:ext xmlns:c15="http://schemas.microsoft.com/office/drawing/2012/chart" uri="{CE6537A1-D6FC-4f65-9D91-7224C49458BB}"/>
                <c:ext xmlns:c16="http://schemas.microsoft.com/office/drawing/2014/chart" uri="{C3380CC4-5D6E-409C-BE32-E72D297353CC}">
                  <c16:uniqueId val="{00000018-A851-4EAF-B9D9-3898AD8618A6}"/>
                </c:ext>
              </c:extLst>
            </c:dLbl>
            <c:dLbl>
              <c:idx val="7"/>
              <c:delete val="1"/>
              <c:extLst>
                <c:ext xmlns:c15="http://schemas.microsoft.com/office/drawing/2012/chart" uri="{CE6537A1-D6FC-4f65-9D91-7224C49458BB}"/>
                <c:ext xmlns:c16="http://schemas.microsoft.com/office/drawing/2014/chart" uri="{C3380CC4-5D6E-409C-BE32-E72D297353CC}">
                  <c16:uniqueId val="{00000019-A851-4EAF-B9D9-3898AD8618A6}"/>
                </c:ext>
              </c:extLst>
            </c:dLbl>
            <c:dLbl>
              <c:idx val="9"/>
              <c:delete val="1"/>
              <c:extLst>
                <c:ext xmlns:c15="http://schemas.microsoft.com/office/drawing/2012/chart" uri="{CE6537A1-D6FC-4f65-9D91-7224C49458BB}"/>
                <c:ext xmlns:c16="http://schemas.microsoft.com/office/drawing/2014/chart" uri="{C3380CC4-5D6E-409C-BE32-E72D297353CC}">
                  <c16:uniqueId val="{0000001A-A851-4EAF-B9D9-3898AD8618A6}"/>
                </c:ext>
              </c:extLst>
            </c:dLbl>
            <c:dLbl>
              <c:idx val="11"/>
              <c:delete val="1"/>
              <c:extLst>
                <c:ext xmlns:c15="http://schemas.microsoft.com/office/drawing/2012/chart" uri="{CE6537A1-D6FC-4f65-9D91-7224C49458BB}"/>
                <c:ext xmlns:c16="http://schemas.microsoft.com/office/drawing/2014/chart" uri="{C3380CC4-5D6E-409C-BE32-E72D297353CC}">
                  <c16:uniqueId val="{0000001B-A851-4EAF-B9D9-3898AD8618A6}"/>
                </c:ext>
              </c:extLst>
            </c:dLbl>
            <c:dLbl>
              <c:idx val="13"/>
              <c:delete val="1"/>
              <c:extLst>
                <c:ext xmlns:c15="http://schemas.microsoft.com/office/drawing/2012/chart" uri="{CE6537A1-D6FC-4f65-9D91-7224C49458BB}"/>
                <c:ext xmlns:c16="http://schemas.microsoft.com/office/drawing/2014/chart" uri="{C3380CC4-5D6E-409C-BE32-E72D297353CC}">
                  <c16:uniqueId val="{0000001C-A851-4EAF-B9D9-3898AD8618A6}"/>
                </c:ext>
              </c:extLst>
            </c:dLbl>
            <c:dLbl>
              <c:idx val="15"/>
              <c:delete val="1"/>
              <c:extLst>
                <c:ext xmlns:c15="http://schemas.microsoft.com/office/drawing/2012/chart" uri="{CE6537A1-D6FC-4f65-9D91-7224C49458BB}"/>
                <c:ext xmlns:c16="http://schemas.microsoft.com/office/drawing/2014/chart" uri="{C3380CC4-5D6E-409C-BE32-E72D297353CC}">
                  <c16:uniqueId val="{0000001D-A851-4EAF-B9D9-3898AD8618A6}"/>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accent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'Analysis Results'!$S$5:$S$35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Results'!$V$5:$V$35</c:f>
              <c:numCache>
                <c:formatCode>0%</c:formatCode>
                <c:ptCount val="31"/>
                <c:pt idx="0">
                  <c:v>0.12522887991493245</c:v>
                </c:pt>
                <c:pt idx="1">
                  <c:v>0.13010771476756197</c:v>
                </c:pt>
                <c:pt idx="2">
                  <c:v>0.13492594229784138</c:v>
                </c:pt>
                <c:pt idx="3">
                  <c:v>0.1395200769322234</c:v>
                </c:pt>
                <c:pt idx="4">
                  <c:v>0.14890472828483076</c:v>
                </c:pt>
                <c:pt idx="5">
                  <c:v>0.15636874258457223</c:v>
                </c:pt>
                <c:pt idx="6">
                  <c:v>0.15611028624762135</c:v>
                </c:pt>
                <c:pt idx="7">
                  <c:v>0.15584831536033392</c:v>
                </c:pt>
                <c:pt idx="8">
                  <c:v>0.15558283927145974</c:v>
                </c:pt>
                <c:pt idx="9">
                  <c:v>0.15531386898239127</c:v>
                </c:pt>
                <c:pt idx="10">
                  <c:v>0.15504141714860026</c:v>
                </c:pt>
                <c:pt idx="11">
                  <c:v>0.15476549807888787</c:v>
                </c:pt>
                <c:pt idx="12">
                  <c:v>0.15448612773243497</c:v>
                </c:pt>
                <c:pt idx="13">
                  <c:v>0.15420332371364662</c:v>
                </c:pt>
                <c:pt idx="14">
                  <c:v>0.15391710526479069</c:v>
                </c:pt>
                <c:pt idx="15">
                  <c:v>0.15362749325643432</c:v>
                </c:pt>
                <c:pt idx="16">
                  <c:v>0.1533345101756898</c:v>
                </c:pt>
                <c:pt idx="17">
                  <c:v>2.0418427511706444E-2</c:v>
                </c:pt>
                <c:pt idx="18">
                  <c:v>1.5638352986523236E-2</c:v>
                </c:pt>
                <c:pt idx="19">
                  <c:v>1.0858278461340024E-2</c:v>
                </c:pt>
                <c:pt idx="20">
                  <c:v>6.0782039361568195E-3</c:v>
                </c:pt>
                <c:pt idx="21">
                  <c:v>1.2981294109736068E-3</c:v>
                </c:pt>
                <c:pt idx="22">
                  <c:v>1.2981294109736046E-3</c:v>
                </c:pt>
                <c:pt idx="23">
                  <c:v>1.2981294109736103E-3</c:v>
                </c:pt>
                <c:pt idx="24">
                  <c:v>1.2981294109736092E-3</c:v>
                </c:pt>
                <c:pt idx="25">
                  <c:v>5.8944861366177345E-3</c:v>
                </c:pt>
                <c:pt idx="26">
                  <c:v>8.5737341158809571E-3</c:v>
                </c:pt>
                <c:pt idx="27">
                  <c:v>8.3141082336862359E-3</c:v>
                </c:pt>
                <c:pt idx="28">
                  <c:v>8.0544823514915112E-3</c:v>
                </c:pt>
                <c:pt idx="29">
                  <c:v>7.7948564692967917E-3</c:v>
                </c:pt>
                <c:pt idx="30">
                  <c:v>2.93887386145794E-3</c:v>
                </c:pt>
              </c:numCache>
            </c:numRef>
          </c:val>
          <c:smooth val="0"/>
          <c:extLst>
            <c:ext xmlns:c16="http://schemas.microsoft.com/office/drawing/2014/chart" uri="{C3380CC4-5D6E-409C-BE32-E72D297353CC}">
              <c16:uniqueId val="{00000001-FDFD-4D99-AABB-35D0272F0F69}"/>
            </c:ext>
          </c:extLst>
        </c:ser>
        <c:ser>
          <c:idx val="2"/>
          <c:order val="1"/>
          <c:tx>
            <c:strRef>
              <c:f>'Analysis Results'!$W$4</c:f>
              <c:strCache>
                <c:ptCount val="1"/>
                <c:pt idx="0">
                  <c:v> Alt 1 - 20 Yr Level % of Pay at 7%  </c:v>
                </c:pt>
              </c:strCache>
            </c:strRef>
          </c:tx>
          <c:spPr>
            <a:ln w="28575" cap="rnd">
              <a:solidFill>
                <a:schemeClr val="accent3"/>
              </a:solidFill>
              <a:round/>
            </a:ln>
            <a:effectLst/>
          </c:spPr>
          <c:marker>
            <c:symbol val="none"/>
          </c:marker>
          <c:cat>
            <c:numRef>
              <c:f>'Analysis Results'!$S$5:$S$35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Results'!$W$5:$W$35</c:f>
              <c:numCache>
                <c:formatCode>0%</c:formatCode>
                <c:ptCount val="31"/>
                <c:pt idx="0">
                  <c:v>0.15235056947000378</c:v>
                </c:pt>
                <c:pt idx="1">
                  <c:v>0.1523505694700038</c:v>
                </c:pt>
                <c:pt idx="2">
                  <c:v>0.15235056947000378</c:v>
                </c:pt>
                <c:pt idx="3">
                  <c:v>0.15235056947000378</c:v>
                </c:pt>
                <c:pt idx="4">
                  <c:v>0.15235056947000383</c:v>
                </c:pt>
                <c:pt idx="5">
                  <c:v>0.15235056947000378</c:v>
                </c:pt>
                <c:pt idx="6">
                  <c:v>0.15235056947000378</c:v>
                </c:pt>
                <c:pt idx="7">
                  <c:v>0.15235056947000383</c:v>
                </c:pt>
                <c:pt idx="8">
                  <c:v>0.15235056947000375</c:v>
                </c:pt>
                <c:pt idx="9">
                  <c:v>0.15235056947000378</c:v>
                </c:pt>
                <c:pt idx="10">
                  <c:v>0.15235056947000375</c:v>
                </c:pt>
                <c:pt idx="11">
                  <c:v>0.15235056947000375</c:v>
                </c:pt>
                <c:pt idx="12">
                  <c:v>0.15235056947000378</c:v>
                </c:pt>
                <c:pt idx="13">
                  <c:v>0.15235056947000378</c:v>
                </c:pt>
                <c:pt idx="14">
                  <c:v>0.15235056947000378</c:v>
                </c:pt>
                <c:pt idx="15">
                  <c:v>0.15235056947000378</c:v>
                </c:pt>
                <c:pt idx="16">
                  <c:v>0.15235056947000386</c:v>
                </c:pt>
                <c:pt idx="17">
                  <c:v>1.9846084850163991E-2</c:v>
                </c:pt>
                <c:pt idx="18">
                  <c:v>1.9846084850163991E-2</c:v>
                </c:pt>
                <c:pt idx="19">
                  <c:v>1.9846084850163974E-2</c:v>
                </c:pt>
              </c:numCache>
            </c:numRef>
          </c:val>
          <c:smooth val="0"/>
          <c:extLst>
            <c:ext xmlns:c16="http://schemas.microsoft.com/office/drawing/2014/chart" uri="{C3380CC4-5D6E-409C-BE32-E72D297353CC}">
              <c16:uniqueId val="{00000002-FDFD-4D99-AABB-35D0272F0F69}"/>
            </c:ext>
          </c:extLst>
        </c:ser>
        <c:ser>
          <c:idx val="3"/>
          <c:order val="2"/>
          <c:tx>
            <c:strRef>
              <c:f>'Analysis Results'!$X$4</c:f>
              <c:strCache>
                <c:ptCount val="1"/>
                <c:pt idx="0">
                  <c:v> Alt 2 - 20 Yr Level $ Payment at 7%  </c:v>
                </c:pt>
              </c:strCache>
            </c:strRef>
          </c:tx>
          <c:spPr>
            <a:ln w="28575" cap="rnd">
              <a:solidFill>
                <a:schemeClr val="accent4"/>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1E-A851-4EAF-B9D9-3898AD8618A6}"/>
                </c:ext>
              </c:extLst>
            </c:dLbl>
            <c:dLbl>
              <c:idx val="3"/>
              <c:delete val="1"/>
              <c:extLst>
                <c:ext xmlns:c15="http://schemas.microsoft.com/office/drawing/2012/chart" uri="{CE6537A1-D6FC-4f65-9D91-7224C49458BB}"/>
                <c:ext xmlns:c16="http://schemas.microsoft.com/office/drawing/2014/chart" uri="{C3380CC4-5D6E-409C-BE32-E72D297353CC}">
                  <c16:uniqueId val="{0000001F-A851-4EAF-B9D9-3898AD8618A6}"/>
                </c:ext>
              </c:extLst>
            </c:dLbl>
            <c:dLbl>
              <c:idx val="5"/>
              <c:delete val="1"/>
              <c:extLst>
                <c:ext xmlns:c15="http://schemas.microsoft.com/office/drawing/2012/chart" uri="{CE6537A1-D6FC-4f65-9D91-7224C49458BB}"/>
                <c:ext xmlns:c16="http://schemas.microsoft.com/office/drawing/2014/chart" uri="{C3380CC4-5D6E-409C-BE32-E72D297353CC}">
                  <c16:uniqueId val="{00000021-A851-4EAF-B9D9-3898AD8618A6}"/>
                </c:ext>
              </c:extLst>
            </c:dLbl>
            <c:dLbl>
              <c:idx val="7"/>
              <c:delete val="1"/>
              <c:extLst>
                <c:ext xmlns:c15="http://schemas.microsoft.com/office/drawing/2012/chart" uri="{CE6537A1-D6FC-4f65-9D91-7224C49458BB}"/>
                <c:ext xmlns:c16="http://schemas.microsoft.com/office/drawing/2014/chart" uri="{C3380CC4-5D6E-409C-BE32-E72D297353CC}">
                  <c16:uniqueId val="{00000010-A851-4EAF-B9D9-3898AD8618A6}"/>
                </c:ext>
              </c:extLst>
            </c:dLbl>
            <c:dLbl>
              <c:idx val="9"/>
              <c:delete val="1"/>
              <c:extLst>
                <c:ext xmlns:c15="http://schemas.microsoft.com/office/drawing/2012/chart" uri="{CE6537A1-D6FC-4f65-9D91-7224C49458BB}"/>
                <c:ext xmlns:c16="http://schemas.microsoft.com/office/drawing/2014/chart" uri="{C3380CC4-5D6E-409C-BE32-E72D297353CC}">
                  <c16:uniqueId val="{00000011-A851-4EAF-B9D9-3898AD8618A6}"/>
                </c:ext>
              </c:extLst>
            </c:dLbl>
            <c:dLbl>
              <c:idx val="11"/>
              <c:delete val="1"/>
              <c:extLst>
                <c:ext xmlns:c15="http://schemas.microsoft.com/office/drawing/2012/chart" uri="{CE6537A1-D6FC-4f65-9D91-7224C49458BB}"/>
                <c:ext xmlns:c16="http://schemas.microsoft.com/office/drawing/2014/chart" uri="{C3380CC4-5D6E-409C-BE32-E72D297353CC}">
                  <c16:uniqueId val="{00000012-A851-4EAF-B9D9-3898AD8618A6}"/>
                </c:ext>
              </c:extLst>
            </c:dLbl>
            <c:dLbl>
              <c:idx val="13"/>
              <c:delete val="1"/>
              <c:extLst>
                <c:ext xmlns:c15="http://schemas.microsoft.com/office/drawing/2012/chart" uri="{CE6537A1-D6FC-4f65-9D91-7224C49458BB}"/>
                <c:ext xmlns:c16="http://schemas.microsoft.com/office/drawing/2014/chart" uri="{C3380CC4-5D6E-409C-BE32-E72D297353CC}">
                  <c16:uniqueId val="{00000013-A851-4EAF-B9D9-3898AD8618A6}"/>
                </c:ext>
              </c:extLst>
            </c:dLbl>
            <c:dLbl>
              <c:idx val="15"/>
              <c:delete val="1"/>
              <c:extLst>
                <c:ext xmlns:c15="http://schemas.microsoft.com/office/drawing/2012/chart" uri="{CE6537A1-D6FC-4f65-9D91-7224C49458BB}"/>
                <c:ext xmlns:c16="http://schemas.microsoft.com/office/drawing/2014/chart" uri="{C3380CC4-5D6E-409C-BE32-E72D297353CC}">
                  <c16:uniqueId val="{00000014-A851-4EAF-B9D9-3898AD8618A6}"/>
                </c:ext>
              </c:extLst>
            </c:dLbl>
            <c:dLbl>
              <c:idx val="17"/>
              <c:delete val="1"/>
              <c:extLst>
                <c:ext xmlns:c15="http://schemas.microsoft.com/office/drawing/2012/chart" uri="{CE6537A1-D6FC-4f65-9D91-7224C49458BB}"/>
                <c:ext xmlns:c16="http://schemas.microsoft.com/office/drawing/2014/chart" uri="{C3380CC4-5D6E-409C-BE32-E72D297353CC}">
                  <c16:uniqueId val="{00000015-A851-4EAF-B9D9-3898AD8618A6}"/>
                </c:ext>
              </c:extLst>
            </c:dLbl>
            <c:dLbl>
              <c:idx val="18"/>
              <c:delete val="1"/>
              <c:extLst>
                <c:ext xmlns:c15="http://schemas.microsoft.com/office/drawing/2012/chart" uri="{CE6537A1-D6FC-4f65-9D91-7224C49458BB}"/>
                <c:ext xmlns:c16="http://schemas.microsoft.com/office/drawing/2014/chart" uri="{C3380CC4-5D6E-409C-BE32-E72D297353CC}">
                  <c16:uniqueId val="{00000000-A851-4EAF-B9D9-3898AD8618A6}"/>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accent4"/>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'Analysis Results'!$S$5:$S$35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Results'!$X$5:$X$35</c:f>
              <c:numCache>
                <c:formatCode>0%</c:formatCode>
                <c:ptCount val="31"/>
                <c:pt idx="0">
                  <c:v>0.17590405657542449</c:v>
                </c:pt>
                <c:pt idx="1">
                  <c:v>0.16910749593519947</c:v>
                </c:pt>
                <c:pt idx="2">
                  <c:v>0.16262115700382426</c:v>
                </c:pt>
                <c:pt idx="3">
                  <c:v>0.15498709149597681</c:v>
                </c:pt>
                <c:pt idx="4">
                  <c:v>0.15047290436502597</c:v>
                </c:pt>
                <c:pt idx="5">
                  <c:v>0.14609019841264659</c:v>
                </c:pt>
                <c:pt idx="6">
                  <c:v>0.1418351440899481</c:v>
                </c:pt>
                <c:pt idx="7">
                  <c:v>0.13770402338829912</c:v>
                </c:pt>
                <c:pt idx="8">
                  <c:v>0.13369322659058164</c:v>
                </c:pt>
                <c:pt idx="9">
                  <c:v>0.12979924911706958</c:v>
                </c:pt>
                <c:pt idx="10">
                  <c:v>0.12601868846317432</c:v>
                </c:pt>
                <c:pt idx="11">
                  <c:v>0.12234824122638285</c:v>
                </c:pt>
                <c:pt idx="12">
                  <c:v>0.11878470021978914</c:v>
                </c:pt>
                <c:pt idx="13">
                  <c:v>0.11532495166969818</c:v>
                </c:pt>
                <c:pt idx="14">
                  <c:v>0.11196597249485261</c:v>
                </c:pt>
                <c:pt idx="15">
                  <c:v>0.10870482766490544</c:v>
                </c:pt>
                <c:pt idx="16">
                  <c:v>0.1055386676358305</c:v>
                </c:pt>
                <c:pt idx="17">
                  <c:v>0.10246472586002964</c:v>
                </c:pt>
                <c:pt idx="18">
                  <c:v>9.9480316368960806E-2</c:v>
                </c:pt>
                <c:pt idx="19">
                  <c:v>9.6582831426175478E-2</c:v>
                </c:pt>
              </c:numCache>
            </c:numRef>
          </c:val>
          <c:smooth val="0"/>
          <c:extLst>
            <c:ext xmlns:c16="http://schemas.microsoft.com/office/drawing/2014/chart" uri="{C3380CC4-5D6E-409C-BE32-E72D297353CC}">
              <c16:uniqueId val="{00000003-FDFD-4D99-AABB-35D0272F0F69}"/>
            </c:ext>
          </c:extLst>
        </c:ser>
        <c:ser>
          <c:idx val="4"/>
          <c:order val="3"/>
          <c:tx>
            <c:strRef>
              <c:f>'Analysis Results'!$Y$4</c:f>
              <c:strCache>
                <c:ptCount val="1"/>
                <c:pt idx="0">
                  <c:v> Hedge 1 -  20 Yr Level % of Pay at 6.5% </c:v>
                </c:pt>
              </c:strCache>
            </c:strRef>
          </c:tx>
          <c:spPr>
            <a:ln w="28575" cap="rnd">
              <a:solidFill>
                <a:schemeClr val="accent5"/>
              </a:solidFill>
              <a:round/>
            </a:ln>
            <a:effectLst/>
          </c:spPr>
          <c:marker>
            <c:symbol val="none"/>
          </c:marker>
          <c:cat>
            <c:numRef>
              <c:f>'Analysis Results'!$S$5:$S$35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Results'!$Y$5:$Y$35</c:f>
              <c:numCache>
                <c:formatCode>0%</c:formatCode>
                <c:ptCount val="31"/>
                <c:pt idx="0">
                  <c:v>0.17331453471483305</c:v>
                </c:pt>
                <c:pt idx="1">
                  <c:v>0.17331453471483305</c:v>
                </c:pt>
                <c:pt idx="2">
                  <c:v>0.17331453471483307</c:v>
                </c:pt>
                <c:pt idx="3">
                  <c:v>0.17331453471483305</c:v>
                </c:pt>
                <c:pt idx="4">
                  <c:v>0.17331453471483307</c:v>
                </c:pt>
                <c:pt idx="5">
                  <c:v>0.17331453471483299</c:v>
                </c:pt>
                <c:pt idx="6">
                  <c:v>0.17331453471483305</c:v>
                </c:pt>
                <c:pt idx="7">
                  <c:v>0.17331453471483305</c:v>
                </c:pt>
                <c:pt idx="8">
                  <c:v>0.17331453471483296</c:v>
                </c:pt>
                <c:pt idx="9">
                  <c:v>0.17331453471483302</c:v>
                </c:pt>
                <c:pt idx="10">
                  <c:v>0.17331453471483294</c:v>
                </c:pt>
                <c:pt idx="11">
                  <c:v>0.17331453471483296</c:v>
                </c:pt>
                <c:pt idx="12">
                  <c:v>0.17331453471483299</c:v>
                </c:pt>
                <c:pt idx="13">
                  <c:v>0.17331453471483296</c:v>
                </c:pt>
                <c:pt idx="14">
                  <c:v>0.17331453471483291</c:v>
                </c:pt>
                <c:pt idx="15">
                  <c:v>0.17331453471483296</c:v>
                </c:pt>
                <c:pt idx="16">
                  <c:v>0.17331453471483299</c:v>
                </c:pt>
                <c:pt idx="17">
                  <c:v>4.0810050094993118E-2</c:v>
                </c:pt>
                <c:pt idx="18">
                  <c:v>4.0810050094993097E-2</c:v>
                </c:pt>
                <c:pt idx="19">
                  <c:v>4.0810050094993063E-2</c:v>
                </c:pt>
              </c:numCache>
            </c:numRef>
          </c:val>
          <c:smooth val="0"/>
          <c:extLst>
            <c:ext xmlns:c16="http://schemas.microsoft.com/office/drawing/2014/chart" uri="{C3380CC4-5D6E-409C-BE32-E72D297353CC}">
              <c16:uniqueId val="{00000004-FDFD-4D99-AABB-35D0272F0F69}"/>
            </c:ext>
          </c:extLst>
        </c:ser>
        <c:ser>
          <c:idx val="5"/>
          <c:order val="4"/>
          <c:tx>
            <c:strRef>
              <c:f>'Analysis Results'!$Z$4</c:f>
              <c:strCache>
                <c:ptCount val="1"/>
                <c:pt idx="0">
                  <c:v> Hedge 2 -  20 Yr Level $ Payment at 6.5% </c:v>
                </c:pt>
              </c:strCache>
            </c:strRef>
          </c:tx>
          <c:spPr>
            <a:ln w="28575" cap="rnd">
              <a:solidFill>
                <a:schemeClr val="accent6"/>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22-A851-4EAF-B9D9-3898AD8618A6}"/>
                </c:ext>
              </c:extLst>
            </c:dLbl>
            <c:dLbl>
              <c:idx val="3"/>
              <c:delete val="1"/>
              <c:extLst>
                <c:ext xmlns:c15="http://schemas.microsoft.com/office/drawing/2012/chart" uri="{CE6537A1-D6FC-4f65-9D91-7224C49458BB}"/>
                <c:ext xmlns:c16="http://schemas.microsoft.com/office/drawing/2014/chart" uri="{C3380CC4-5D6E-409C-BE32-E72D297353CC}">
                  <c16:uniqueId val="{00000023-A851-4EAF-B9D9-3898AD8618A6}"/>
                </c:ext>
              </c:extLst>
            </c:dLbl>
            <c:dLbl>
              <c:idx val="5"/>
              <c:delete val="1"/>
              <c:extLst>
                <c:ext xmlns:c15="http://schemas.microsoft.com/office/drawing/2012/chart" uri="{CE6537A1-D6FC-4f65-9D91-7224C49458BB}"/>
                <c:ext xmlns:c16="http://schemas.microsoft.com/office/drawing/2014/chart" uri="{C3380CC4-5D6E-409C-BE32-E72D297353CC}">
                  <c16:uniqueId val="{0000000E-A851-4EAF-B9D9-3898AD8618A6}"/>
                </c:ext>
              </c:extLst>
            </c:dLbl>
            <c:dLbl>
              <c:idx val="6"/>
              <c:delete val="1"/>
              <c:extLst>
                <c:ext xmlns:c15="http://schemas.microsoft.com/office/drawing/2012/chart" uri="{CE6537A1-D6FC-4f65-9D91-7224C49458BB}"/>
                <c:ext xmlns:c16="http://schemas.microsoft.com/office/drawing/2014/chart" uri="{C3380CC4-5D6E-409C-BE32-E72D297353CC}">
                  <c16:uniqueId val="{0000000F-A851-4EAF-B9D9-3898AD8618A6}"/>
                </c:ext>
              </c:extLst>
            </c:dLbl>
            <c:dLbl>
              <c:idx val="7"/>
              <c:delete val="1"/>
              <c:extLst>
                <c:ext xmlns:c15="http://schemas.microsoft.com/office/drawing/2012/chart" uri="{CE6537A1-D6FC-4f65-9D91-7224C49458BB}"/>
                <c:ext xmlns:c16="http://schemas.microsoft.com/office/drawing/2014/chart" uri="{C3380CC4-5D6E-409C-BE32-E72D297353CC}">
                  <c16:uniqueId val="{0000000C-A851-4EAF-B9D9-3898AD8618A6}"/>
                </c:ext>
              </c:extLst>
            </c:dLbl>
            <c:dLbl>
              <c:idx val="8"/>
              <c:delete val="1"/>
              <c:extLst>
                <c:ext xmlns:c15="http://schemas.microsoft.com/office/drawing/2012/chart" uri="{CE6537A1-D6FC-4f65-9D91-7224C49458BB}"/>
                <c:ext xmlns:c16="http://schemas.microsoft.com/office/drawing/2014/chart" uri="{C3380CC4-5D6E-409C-BE32-E72D297353CC}">
                  <c16:uniqueId val="{0000000B-A851-4EAF-B9D9-3898AD8618A6}"/>
                </c:ext>
              </c:extLst>
            </c:dLbl>
            <c:dLbl>
              <c:idx val="9"/>
              <c:delete val="1"/>
              <c:extLst>
                <c:ext xmlns:c15="http://schemas.microsoft.com/office/drawing/2012/chart" uri="{CE6537A1-D6FC-4f65-9D91-7224C49458BB}"/>
                <c:ext xmlns:c16="http://schemas.microsoft.com/office/drawing/2014/chart" uri="{C3380CC4-5D6E-409C-BE32-E72D297353CC}">
                  <c16:uniqueId val="{0000000A-A851-4EAF-B9D9-3898AD8618A6}"/>
                </c:ext>
              </c:extLst>
            </c:dLbl>
            <c:dLbl>
              <c:idx val="10"/>
              <c:delete val="1"/>
              <c:extLst>
                <c:ext xmlns:c15="http://schemas.microsoft.com/office/drawing/2012/chart" uri="{CE6537A1-D6FC-4f65-9D91-7224C49458BB}"/>
                <c:ext xmlns:c16="http://schemas.microsoft.com/office/drawing/2014/chart" uri="{C3380CC4-5D6E-409C-BE32-E72D297353CC}">
                  <c16:uniqueId val="{00000009-A851-4EAF-B9D9-3898AD8618A6}"/>
                </c:ext>
              </c:extLst>
            </c:dLbl>
            <c:dLbl>
              <c:idx val="11"/>
              <c:delete val="1"/>
              <c:extLst>
                <c:ext xmlns:c15="http://schemas.microsoft.com/office/drawing/2012/chart" uri="{CE6537A1-D6FC-4f65-9D91-7224C49458BB}"/>
                <c:ext xmlns:c16="http://schemas.microsoft.com/office/drawing/2014/chart" uri="{C3380CC4-5D6E-409C-BE32-E72D297353CC}">
                  <c16:uniqueId val="{00000008-A851-4EAF-B9D9-3898AD8618A6}"/>
                </c:ext>
              </c:extLst>
            </c:dLbl>
            <c:dLbl>
              <c:idx val="13"/>
              <c:delete val="1"/>
              <c:extLst>
                <c:ext xmlns:c15="http://schemas.microsoft.com/office/drawing/2012/chart" uri="{CE6537A1-D6FC-4f65-9D91-7224C49458BB}"/>
                <c:ext xmlns:c16="http://schemas.microsoft.com/office/drawing/2014/chart" uri="{C3380CC4-5D6E-409C-BE32-E72D297353CC}">
                  <c16:uniqueId val="{00000006-A851-4EAF-B9D9-3898AD8618A6}"/>
                </c:ext>
              </c:extLst>
            </c:dLbl>
            <c:dLbl>
              <c:idx val="15"/>
              <c:delete val="1"/>
              <c:extLst>
                <c:ext xmlns:c15="http://schemas.microsoft.com/office/drawing/2012/chart" uri="{CE6537A1-D6FC-4f65-9D91-7224C49458BB}"/>
                <c:ext xmlns:c16="http://schemas.microsoft.com/office/drawing/2014/chart" uri="{C3380CC4-5D6E-409C-BE32-E72D297353CC}">
                  <c16:uniqueId val="{00000003-A851-4EAF-B9D9-3898AD8618A6}"/>
                </c:ext>
              </c:extLst>
            </c:dLbl>
            <c:dLbl>
              <c:idx val="17"/>
              <c:delete val="1"/>
              <c:extLst>
                <c:ext xmlns:c15="http://schemas.microsoft.com/office/drawing/2012/chart" uri="{CE6537A1-D6FC-4f65-9D91-7224C49458BB}"/>
                <c:ext xmlns:c16="http://schemas.microsoft.com/office/drawing/2014/chart" uri="{C3380CC4-5D6E-409C-BE32-E72D297353CC}">
                  <c16:uniqueId val="{00000001-A851-4EAF-B9D9-3898AD8618A6}"/>
                </c:ext>
              </c:extLst>
            </c:dLbl>
            <c:dLbl>
              <c:idx val="18"/>
              <c:delete val="1"/>
              <c:extLst>
                <c:ext xmlns:c15="http://schemas.microsoft.com/office/drawing/2012/chart" uri="{CE6537A1-D6FC-4f65-9D91-7224C49458BB}"/>
                <c:ext xmlns:c16="http://schemas.microsoft.com/office/drawing/2014/chart" uri="{C3380CC4-5D6E-409C-BE32-E72D297353CC}">
                  <c16:uniqueId val="{00000004-A851-4EAF-B9D9-3898AD8618A6}"/>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accent6"/>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'Analysis Results'!$S$5:$S$35</c:f>
              <c:numCache>
                <c:formatCode>General</c:formatCode>
                <c:ptCount val="31"/>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pt idx="27">
                  <c:v>2045</c:v>
                </c:pt>
                <c:pt idx="28">
                  <c:v>2046</c:v>
                </c:pt>
                <c:pt idx="29">
                  <c:v>2047</c:v>
                </c:pt>
                <c:pt idx="30">
                  <c:v>2048</c:v>
                </c:pt>
              </c:numCache>
            </c:numRef>
          </c:cat>
          <c:val>
            <c:numRef>
              <c:f>'Analysis Results'!$Z$5:$Z$35</c:f>
              <c:numCache>
                <c:formatCode>0%</c:formatCode>
                <c:ptCount val="31"/>
                <c:pt idx="0">
                  <c:v>0.20634257379647705</c:v>
                </c:pt>
                <c:pt idx="1">
                  <c:v>0.19836993324019442</c:v>
                </c:pt>
                <c:pt idx="2">
                  <c:v>0.19076119529706251</c:v>
                </c:pt>
                <c:pt idx="3">
                  <c:v>0.18180612765344212</c:v>
                </c:pt>
                <c:pt idx="4">
                  <c:v>0.17651080354703119</c:v>
                </c:pt>
                <c:pt idx="5">
                  <c:v>0.1713697121815837</c:v>
                </c:pt>
                <c:pt idx="6">
                  <c:v>0.16637836134134332</c:v>
                </c:pt>
                <c:pt idx="7">
                  <c:v>0.16153238965178965</c:v>
                </c:pt>
                <c:pt idx="8">
                  <c:v>0.15682756276872784</c:v>
                </c:pt>
                <c:pt idx="9">
                  <c:v>0.15225976967837651</c:v>
                </c:pt>
                <c:pt idx="10">
                  <c:v>0.14782501910521992</c:v>
                </c:pt>
                <c:pt idx="11">
                  <c:v>0.14351943602448536</c:v>
                </c:pt>
                <c:pt idx="12">
                  <c:v>0.13933925827619936</c:v>
                </c:pt>
                <c:pt idx="13">
                  <c:v>0.13528083327786342</c:v>
                </c:pt>
                <c:pt idx="14">
                  <c:v>0.1313406148328771</c:v>
                </c:pt>
                <c:pt idx="15">
                  <c:v>0.12751516003191951</c:v>
                </c:pt>
                <c:pt idx="16">
                  <c:v>0.12380112624458206</c:v>
                </c:pt>
                <c:pt idx="17">
                  <c:v>0.1201952681986234</c:v>
                </c:pt>
                <c:pt idx="18">
                  <c:v>0.11669443514429453</c:v>
                </c:pt>
                <c:pt idx="19">
                  <c:v>0.11329556810125678</c:v>
                </c:pt>
              </c:numCache>
            </c:numRef>
          </c:val>
          <c:smooth val="0"/>
          <c:extLst>
            <c:ext xmlns:c16="http://schemas.microsoft.com/office/drawing/2014/chart" uri="{C3380CC4-5D6E-409C-BE32-E72D297353CC}">
              <c16:uniqueId val="{00000005-FDFD-4D99-AABB-35D0272F0F69}"/>
            </c:ext>
          </c:extLst>
        </c:ser>
        <c:dLbls>
          <c:showLegendKey val="0"/>
          <c:showVal val="0"/>
          <c:showCatName val="0"/>
          <c:showSerName val="0"/>
          <c:showPercent val="0"/>
          <c:showBubbleSize val="0"/>
        </c:dLbls>
        <c:smooth val="0"/>
        <c:axId val="435032760"/>
        <c:axId val="435032432"/>
      </c:lineChart>
      <c:catAx>
        <c:axId val="435032760"/>
        <c:scaling>
          <c:orientation val="minMax"/>
        </c:scaling>
        <c:delete val="0"/>
        <c:axPos val="b"/>
        <c:numFmt formatCode="General" sourceLinked="1"/>
        <c:majorTickMark val="out"/>
        <c:minorTickMark val="none"/>
        <c:tickLblPos val="nextTo"/>
        <c:spPr>
          <a:noFill/>
          <a:ln w="9525" cap="flat" cmpd="sng" algn="ctr">
            <a:solidFill>
              <a:srgbClr val="868686"/>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crossAx val="435032432"/>
        <c:crosses val="autoZero"/>
        <c:auto val="1"/>
        <c:lblAlgn val="ctr"/>
        <c:lblOffset val="100"/>
        <c:tickLblSkip val="2"/>
        <c:noMultiLvlLbl val="0"/>
      </c:catAx>
      <c:valAx>
        <c:axId val="435032432"/>
        <c:scaling>
          <c:orientation val="minMax"/>
        </c:scaling>
        <c:delete val="0"/>
        <c:axPos val="l"/>
        <c:majorGridlines>
          <c:spPr>
            <a:ln w="9525" cap="flat" cmpd="sng" algn="ctr">
              <a:solidFill>
                <a:srgbClr val="868686"/>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35032760"/>
        <c:crosses val="autoZero"/>
        <c:crossBetween val="midCat"/>
      </c:valAx>
      <c:spPr>
        <a:noFill/>
        <a:ln>
          <a:noFill/>
        </a:ln>
        <a:effectLst/>
      </c:spPr>
    </c:plotArea>
    <c:legend>
      <c:legendPos val="b"/>
      <c:layout>
        <c:manualLayout>
          <c:xMode val="edge"/>
          <c:yMode val="edge"/>
          <c:x val="7.0357453083829624E-2"/>
          <c:y val="0.85764722769028867"/>
          <c:w val="0.8754605498165835"/>
          <c:h val="0.128226489005198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Amort Policy With 5 Yr Ramps</a:t>
            </a:r>
            <a:endParaRPr lang="en-US"/>
          </a:p>
        </c:rich>
      </c:tx>
      <c:overlay val="1"/>
    </c:title>
    <c:autoTitleDeleted val="0"/>
    <c:plotArea>
      <c:layout>
        <c:manualLayout>
          <c:layoutTarget val="inner"/>
          <c:xMode val="edge"/>
          <c:yMode val="edge"/>
          <c:x val="0.17734973753280839"/>
          <c:y val="0.23658573928258966"/>
          <c:w val="0.78653915135608043"/>
          <c:h val="0.59540181458262342"/>
        </c:manualLayout>
      </c:layout>
      <c:lineChart>
        <c:grouping val="standard"/>
        <c:varyColors val="0"/>
        <c:ser>
          <c:idx val="0"/>
          <c:order val="0"/>
          <c:marker>
            <c:symbol val="none"/>
          </c:marker>
          <c:cat>
            <c:numRef>
              <c:f>'Safety Curr ScheduleOLD'!$B$16:$B$45</c:f>
              <c:numCache>
                <c:formatCode>General</c:formatCode>
                <c:ptCount val="30"/>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numCache>
            </c:numRef>
          </c:cat>
          <c:val>
            <c:numRef>
              <c:f>'Safety Curr ScheduleOLD'!$N$16:$N$45</c:f>
              <c:numCache>
                <c:formatCode>_("$"* #,##0_);_("$"* \(#,##0\);_("$"* "-"??_);_(@_)</c:formatCode>
                <c:ptCount val="30"/>
                <c:pt idx="0">
                  <c:v>607205.11097960989</c:v>
                </c:pt>
                <c:pt idx="1">
                  <c:v>1250842.5286179965</c:v>
                </c:pt>
                <c:pt idx="2">
                  <c:v>1932551.7067148043</c:v>
                </c:pt>
                <c:pt idx="3">
                  <c:v>2654037.6772216647</c:v>
                </c:pt>
                <c:pt idx="4">
                  <c:v>3417073.5094228932</c:v>
                </c:pt>
                <c:pt idx="5">
                  <c:v>3519585.7147055799</c:v>
                </c:pt>
                <c:pt idx="6">
                  <c:v>3625173.2861467474</c:v>
                </c:pt>
                <c:pt idx="7">
                  <c:v>3733928.4847311503</c:v>
                </c:pt>
                <c:pt idx="8">
                  <c:v>3845946.3392730844</c:v>
                </c:pt>
                <c:pt idx="9">
                  <c:v>3961324.7294512768</c:v>
                </c:pt>
                <c:pt idx="10">
                  <c:v>4080164.471334815</c:v>
                </c:pt>
                <c:pt idx="11">
                  <c:v>4202569.4054748602</c:v>
                </c:pt>
                <c:pt idx="12">
                  <c:v>4328646.4876391049</c:v>
                </c:pt>
                <c:pt idx="13">
                  <c:v>4458505.8822682779</c:v>
                </c:pt>
                <c:pt idx="14">
                  <c:v>4592261.0587363271</c:v>
                </c:pt>
                <c:pt idx="15">
                  <c:v>4730028.8904984165</c:v>
                </c:pt>
                <c:pt idx="16">
                  <c:v>4871929.7572133681</c:v>
                </c:pt>
                <c:pt idx="17">
                  <c:v>5018087.6499297693</c:v>
                </c:pt>
                <c:pt idx="18">
                  <c:v>5168630.2794276625</c:v>
                </c:pt>
                <c:pt idx="19">
                  <c:v>5323689.1878104927</c:v>
                </c:pt>
                <c:pt idx="20">
                  <c:v>5483399.863444807</c:v>
                </c:pt>
                <c:pt idx="21">
                  <c:v>5647901.8593481509</c:v>
                </c:pt>
                <c:pt idx="22">
                  <c:v>5817338.9151285952</c:v>
                </c:pt>
                <c:pt idx="23">
                  <c:v>5991859.0825824542</c:v>
                </c:pt>
                <c:pt idx="24">
                  <c:v>6171614.8550599264</c:v>
                </c:pt>
                <c:pt idx="25">
                  <c:v>6356763.300711724</c:v>
                </c:pt>
                <c:pt idx="26">
                  <c:v>5237972.9597864617</c:v>
                </c:pt>
                <c:pt idx="27">
                  <c:v>4046334.1114350408</c:v>
                </c:pt>
                <c:pt idx="28">
                  <c:v>2778482.7565187286</c:v>
                </c:pt>
                <c:pt idx="29">
                  <c:v>1430918.619607145</c:v>
                </c:pt>
              </c:numCache>
            </c:numRef>
          </c:val>
          <c:smooth val="0"/>
          <c:extLst>
            <c:ext xmlns:c16="http://schemas.microsoft.com/office/drawing/2014/chart" uri="{C3380CC4-5D6E-409C-BE32-E72D297353CC}">
              <c16:uniqueId val="{00000000-A697-4D6F-BEB0-6B9EB8311BDB}"/>
            </c:ext>
          </c:extLst>
        </c:ser>
        <c:dLbls>
          <c:showLegendKey val="0"/>
          <c:showVal val="0"/>
          <c:showCatName val="0"/>
          <c:showSerName val="0"/>
          <c:showPercent val="0"/>
          <c:showBubbleSize val="0"/>
        </c:dLbls>
        <c:smooth val="0"/>
        <c:axId val="231281408"/>
        <c:axId val="231282944"/>
      </c:lineChart>
      <c:catAx>
        <c:axId val="23128140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1282944"/>
        <c:crosses val="autoZero"/>
        <c:auto val="1"/>
        <c:lblAlgn val="ctr"/>
        <c:lblOffset val="100"/>
        <c:noMultiLvlLbl val="0"/>
      </c:catAx>
      <c:valAx>
        <c:axId val="231282944"/>
        <c:scaling>
          <c:orientation val="minMax"/>
        </c:scaling>
        <c:delete val="0"/>
        <c:axPos val="l"/>
        <c:majorGridlines/>
        <c:numFmt formatCode="_(&quot;$&quot;* #,##0_);_(&quot;$&quot;* \(#,##0\);_(&quot;$&quot;* &quot;-&quot;??_);_(@_)" sourceLinked="1"/>
        <c:majorTickMark val="out"/>
        <c:minorTickMark val="none"/>
        <c:tickLblPos val="nextTo"/>
        <c:crossAx val="231281408"/>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Level Percent of Pay Amort Method</a:t>
            </a:r>
          </a:p>
        </c:rich>
      </c:tx>
      <c:overlay val="1"/>
    </c:title>
    <c:autoTitleDeleted val="0"/>
    <c:plotArea>
      <c:layout>
        <c:manualLayout>
          <c:layoutTarget val="inner"/>
          <c:xMode val="edge"/>
          <c:yMode val="edge"/>
          <c:x val="0.18290529308836395"/>
          <c:y val="0.18103018372703411"/>
          <c:w val="0.78653915135608043"/>
          <c:h val="0.60113808690580339"/>
        </c:manualLayout>
      </c:layout>
      <c:lineChart>
        <c:grouping val="standard"/>
        <c:varyColors val="0"/>
        <c:ser>
          <c:idx val="0"/>
          <c:order val="0"/>
          <c:marker>
            <c:symbol val="none"/>
          </c:marker>
          <c:cat>
            <c:numRef>
              <c:f>'Safety Curr ScheduleOLD'!$B$16:$B$45</c:f>
              <c:numCache>
                <c:formatCode>General</c:formatCode>
                <c:ptCount val="30"/>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numCache>
            </c:numRef>
          </c:cat>
          <c:val>
            <c:numRef>
              <c:f>'Safety Curr ScheduleOLD'!$K$16:$K$44</c:f>
              <c:numCache>
                <c:formatCode>_("$"* #,##0_);_("$"* \(#,##0\);_("$"* "-"??_);_(@_)</c:formatCode>
                <c:ptCount val="29"/>
                <c:pt idx="0">
                  <c:v>642009.71129557979</c:v>
                </c:pt>
                <c:pt idx="1">
                  <c:v>661270.00263444707</c:v>
                </c:pt>
                <c:pt idx="2">
                  <c:v>681108.10271348048</c:v>
                </c:pt>
                <c:pt idx="3">
                  <c:v>701541.34579488507</c:v>
                </c:pt>
                <c:pt idx="4">
                  <c:v>722587.58616873145</c:v>
                </c:pt>
                <c:pt idx="5">
                  <c:v>744265.21375379327</c:v>
                </c:pt>
                <c:pt idx="6">
                  <c:v>766593.17016640748</c:v>
                </c:pt>
                <c:pt idx="7">
                  <c:v>789590.96527139971</c:v>
                </c:pt>
                <c:pt idx="8">
                  <c:v>813278.69422954158</c:v>
                </c:pt>
                <c:pt idx="9">
                  <c:v>837677.05505642784</c:v>
                </c:pt>
                <c:pt idx="10">
                  <c:v>862807.36670812045</c:v>
                </c:pt>
                <c:pt idx="11">
                  <c:v>888691.58770936413</c:v>
                </c:pt>
                <c:pt idx="12">
                  <c:v>915352.33534064516</c:v>
                </c:pt>
                <c:pt idx="13">
                  <c:v>942812.90540086478</c:v>
                </c:pt>
                <c:pt idx="14">
                  <c:v>971097.29256289057</c:v>
                </c:pt>
                <c:pt idx="15">
                  <c:v>1000230.2113397773</c:v>
                </c:pt>
                <c:pt idx="16">
                  <c:v>1030237.1176799707</c:v>
                </c:pt>
                <c:pt idx="17">
                  <c:v>1061144.2312103696</c:v>
                </c:pt>
                <c:pt idx="18">
                  <c:v>1092978.5581466802</c:v>
                </c:pt>
                <c:pt idx="19">
                  <c:v>1125767.9148910812</c:v>
                </c:pt>
                <c:pt idx="20">
                  <c:v>1159540.9523378136</c:v>
                </c:pt>
                <c:pt idx="21">
                  <c:v>1194327.1809079482</c:v>
                </c:pt>
                <c:pt idx="22">
                  <c:v>1230156.9963351865</c:v>
                </c:pt>
                <c:pt idx="23">
                  <c:v>1267061.7062252418</c:v>
                </c:pt>
                <c:pt idx="24">
                  <c:v>1305073.5574119997</c:v>
                </c:pt>
                <c:pt idx="25">
                  <c:v>1344225.7641343598</c:v>
                </c:pt>
                <c:pt idx="26">
                  <c:v>1384552.5370583902</c:v>
                </c:pt>
                <c:pt idx="27">
                  <c:v>1426089.1131701423</c:v>
                </c:pt>
                <c:pt idx="28">
                  <c:v>1468871.7865652465</c:v>
                </c:pt>
              </c:numCache>
            </c:numRef>
          </c:val>
          <c:smooth val="0"/>
          <c:extLst>
            <c:ext xmlns:c16="http://schemas.microsoft.com/office/drawing/2014/chart" uri="{C3380CC4-5D6E-409C-BE32-E72D297353CC}">
              <c16:uniqueId val="{00000000-5D1A-4EB5-B6DC-5541B8A56075}"/>
            </c:ext>
          </c:extLst>
        </c:ser>
        <c:dLbls>
          <c:showLegendKey val="0"/>
          <c:showVal val="0"/>
          <c:showCatName val="0"/>
          <c:showSerName val="0"/>
          <c:showPercent val="0"/>
          <c:showBubbleSize val="0"/>
        </c:dLbls>
        <c:smooth val="0"/>
        <c:axId val="231323520"/>
        <c:axId val="231325056"/>
      </c:lineChart>
      <c:catAx>
        <c:axId val="231323520"/>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231325056"/>
        <c:crosses val="autoZero"/>
        <c:auto val="1"/>
        <c:lblAlgn val="ctr"/>
        <c:lblOffset val="100"/>
        <c:noMultiLvlLbl val="0"/>
      </c:catAx>
      <c:valAx>
        <c:axId val="231325056"/>
        <c:scaling>
          <c:orientation val="minMax"/>
        </c:scaling>
        <c:delete val="0"/>
        <c:axPos val="l"/>
        <c:majorGridlines/>
        <c:numFmt formatCode="_(&quot;$&quot;* #,##0_);_(&quot;$&quot;* \(#,##0\);_(&quot;$&quot;* &quot;-&quot;??_);_(@_)" sourceLinked="1"/>
        <c:majorTickMark val="out"/>
        <c:minorTickMark val="none"/>
        <c:tickLblPos val="nextTo"/>
        <c:crossAx val="231323520"/>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Level Payment Amortizaton</a:t>
            </a:r>
          </a:p>
        </c:rich>
      </c:tx>
      <c:overlay val="0"/>
    </c:title>
    <c:autoTitleDeleted val="0"/>
    <c:plotArea>
      <c:layout/>
      <c:lineChart>
        <c:grouping val="standard"/>
        <c:varyColors val="0"/>
        <c:ser>
          <c:idx val="0"/>
          <c:order val="0"/>
          <c:marker>
            <c:symbol val="none"/>
          </c:marker>
          <c:cat>
            <c:numRef>
              <c:f>'Misc Curr Schd w2016Loss &amp; DC'!$B$16:$B$45</c:f>
              <c:numCache>
                <c:formatCode>General</c:formatCode>
                <c:ptCount val="30"/>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numCache>
            </c:numRef>
          </c:cat>
          <c:val>
            <c:numRef>
              <c:f>'Misc Curr Schd w2016Loss &amp; DC'!$AO$16:$AO$45</c:f>
              <c:numCache>
                <c:formatCode>_("$"* #,##0_);_("$"* \(#,##0\);_("$"* "-"??_);_(@_)</c:formatCode>
                <c:ptCount val="30"/>
                <c:pt idx="0">
                  <c:v>500000</c:v>
                </c:pt>
                <c:pt idx="1">
                  <c:v>500000</c:v>
                </c:pt>
                <c:pt idx="2">
                  <c:v>500000</c:v>
                </c:pt>
                <c:pt idx="3">
                  <c:v>500000</c:v>
                </c:pt>
                <c:pt idx="4">
                  <c:v>500000</c:v>
                </c:pt>
                <c:pt idx="5">
                  <c:v>500000</c:v>
                </c:pt>
                <c:pt idx="6">
                  <c:v>500000</c:v>
                </c:pt>
                <c:pt idx="7">
                  <c:v>500000</c:v>
                </c:pt>
                <c:pt idx="8">
                  <c:v>500000</c:v>
                </c:pt>
                <c:pt idx="9">
                  <c:v>500000</c:v>
                </c:pt>
                <c:pt idx="10">
                  <c:v>500000</c:v>
                </c:pt>
                <c:pt idx="11">
                  <c:v>500000</c:v>
                </c:pt>
                <c:pt idx="12">
                  <c:v>500000</c:v>
                </c:pt>
                <c:pt idx="13">
                  <c:v>500000</c:v>
                </c:pt>
                <c:pt idx="14">
                  <c:v>500000</c:v>
                </c:pt>
                <c:pt idx="15">
                  <c:v>500000</c:v>
                </c:pt>
                <c:pt idx="16">
                  <c:v>500000</c:v>
                </c:pt>
                <c:pt idx="17">
                  <c:v>500000</c:v>
                </c:pt>
                <c:pt idx="18">
                  <c:v>500000</c:v>
                </c:pt>
                <c:pt idx="19">
                  <c:v>500000</c:v>
                </c:pt>
                <c:pt idx="20">
                  <c:v>500000</c:v>
                </c:pt>
                <c:pt idx="21">
                  <c:v>500000</c:v>
                </c:pt>
                <c:pt idx="22">
                  <c:v>500000</c:v>
                </c:pt>
                <c:pt idx="23">
                  <c:v>500000</c:v>
                </c:pt>
                <c:pt idx="24">
                  <c:v>500000</c:v>
                </c:pt>
                <c:pt idx="25">
                  <c:v>500000</c:v>
                </c:pt>
                <c:pt idx="26">
                  <c:v>500000</c:v>
                </c:pt>
                <c:pt idx="27">
                  <c:v>500000</c:v>
                </c:pt>
                <c:pt idx="28">
                  <c:v>500000</c:v>
                </c:pt>
                <c:pt idx="29">
                  <c:v>500000</c:v>
                </c:pt>
              </c:numCache>
            </c:numRef>
          </c:val>
          <c:smooth val="0"/>
          <c:extLst>
            <c:ext xmlns:c16="http://schemas.microsoft.com/office/drawing/2014/chart" uri="{C3380CC4-5D6E-409C-BE32-E72D297353CC}">
              <c16:uniqueId val="{00000000-D35B-4975-9191-AC2F4590AA92}"/>
            </c:ext>
          </c:extLst>
        </c:ser>
        <c:dLbls>
          <c:showLegendKey val="0"/>
          <c:showVal val="0"/>
          <c:showCatName val="0"/>
          <c:showSerName val="0"/>
          <c:showPercent val="0"/>
          <c:showBubbleSize val="0"/>
        </c:dLbls>
        <c:smooth val="0"/>
        <c:axId val="231431168"/>
        <c:axId val="231600896"/>
      </c:lineChart>
      <c:catAx>
        <c:axId val="231431168"/>
        <c:scaling>
          <c:orientation val="minMax"/>
        </c:scaling>
        <c:delete val="0"/>
        <c:axPos val="b"/>
        <c:numFmt formatCode="General" sourceLinked="1"/>
        <c:majorTickMark val="none"/>
        <c:minorTickMark val="none"/>
        <c:tickLblPos val="nextTo"/>
        <c:txPr>
          <a:bodyPr rot="-5400000" vert="horz"/>
          <a:lstStyle/>
          <a:p>
            <a:pPr>
              <a:defRPr/>
            </a:pPr>
            <a:endParaRPr lang="en-US"/>
          </a:p>
        </c:txPr>
        <c:crossAx val="231600896"/>
        <c:crosses val="autoZero"/>
        <c:auto val="1"/>
        <c:lblAlgn val="ctr"/>
        <c:lblOffset val="100"/>
        <c:noMultiLvlLbl val="0"/>
      </c:catAx>
      <c:valAx>
        <c:axId val="231600896"/>
        <c:scaling>
          <c:orientation val="minMax"/>
        </c:scaling>
        <c:delete val="0"/>
        <c:axPos val="l"/>
        <c:majorGridlines/>
        <c:numFmt formatCode="_(&quot;$&quot;* #,##0_);_(&quot;$&quot;* \(#,##0\);_(&quot;$&quot;* &quot;-&quot;??_);_(@_)" sourceLinked="1"/>
        <c:majorTickMark val="none"/>
        <c:minorTickMark val="none"/>
        <c:tickLblPos val="nextTo"/>
        <c:crossAx val="231431168"/>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98862642169729"/>
          <c:y val="5.1400554097404488E-2"/>
          <c:w val="0.71883027121609788"/>
          <c:h val="0.8326195683872849"/>
        </c:manualLayout>
      </c:layout>
      <c:lineChart>
        <c:grouping val="standard"/>
        <c:varyColors val="0"/>
        <c:ser>
          <c:idx val="0"/>
          <c:order val="0"/>
          <c:marker>
            <c:symbol val="none"/>
          </c:marker>
          <c:val>
            <c:numRef>
              <c:f>'MVA AVA'!$K$19:$K$28</c:f>
              <c:numCache>
                <c:formatCode>_(* #,##0_);_(* \(#,##0\);_(* "-"??_);_(@_)</c:formatCode>
                <c:ptCount val="10"/>
                <c:pt idx="0">
                  <c:v>322422386</c:v>
                </c:pt>
                <c:pt idx="1">
                  <c:v>341626690</c:v>
                </c:pt>
                <c:pt idx="2">
                  <c:v>366694837</c:v>
                </c:pt>
                <c:pt idx="3">
                  <c:v>394859457</c:v>
                </c:pt>
                <c:pt idx="4">
                  <c:v>428586640</c:v>
                </c:pt>
                <c:pt idx="5">
                  <c:v>460588550</c:v>
                </c:pt>
                <c:pt idx="6">
                  <c:v>482467121</c:v>
                </c:pt>
                <c:pt idx="7">
                  <c:v>502875852</c:v>
                </c:pt>
                <c:pt idx="8">
                  <c:v>523830732</c:v>
                </c:pt>
                <c:pt idx="9">
                  <c:v>541235690</c:v>
                </c:pt>
              </c:numCache>
            </c:numRef>
          </c:val>
          <c:smooth val="0"/>
          <c:extLst>
            <c:ext xmlns:c16="http://schemas.microsoft.com/office/drawing/2014/chart" uri="{C3380CC4-5D6E-409C-BE32-E72D297353CC}">
              <c16:uniqueId val="{00000000-1BFF-4578-AC7E-B4BC3A1DE604}"/>
            </c:ext>
          </c:extLst>
        </c:ser>
        <c:ser>
          <c:idx val="1"/>
          <c:order val="1"/>
          <c:marker>
            <c:symbol val="none"/>
          </c:marker>
          <c:val>
            <c:numRef>
              <c:f>'MVA AVA'!$L$19:$L$28</c:f>
              <c:numCache>
                <c:formatCode>_(* #,##0_);_(* \(#,##0\);_(* "-"??_);_(@_)</c:formatCode>
                <c:ptCount val="10"/>
                <c:pt idx="0">
                  <c:v>293111260</c:v>
                </c:pt>
                <c:pt idx="1">
                  <c:v>336248138</c:v>
                </c:pt>
                <c:pt idx="2">
                  <c:v>377353905</c:v>
                </c:pt>
                <c:pt idx="3">
                  <c:v>419427695</c:v>
                </c:pt>
                <c:pt idx="4">
                  <c:v>499032915</c:v>
                </c:pt>
                <c:pt idx="5">
                  <c:v>471826048</c:v>
                </c:pt>
                <c:pt idx="6">
                  <c:v>353644081</c:v>
                </c:pt>
                <c:pt idx="7">
                  <c:v>395265970</c:v>
                </c:pt>
                <c:pt idx="8">
                  <c:v>467354699</c:v>
                </c:pt>
                <c:pt idx="9">
                  <c:v>452280835</c:v>
                </c:pt>
              </c:numCache>
            </c:numRef>
          </c:val>
          <c:smooth val="0"/>
          <c:extLst>
            <c:ext xmlns:c16="http://schemas.microsoft.com/office/drawing/2014/chart" uri="{C3380CC4-5D6E-409C-BE32-E72D297353CC}">
              <c16:uniqueId val="{00000001-1BFF-4578-AC7E-B4BC3A1DE604}"/>
            </c:ext>
          </c:extLst>
        </c:ser>
        <c:dLbls>
          <c:showLegendKey val="0"/>
          <c:showVal val="0"/>
          <c:showCatName val="0"/>
          <c:showSerName val="0"/>
          <c:showPercent val="0"/>
          <c:showBubbleSize val="0"/>
        </c:dLbls>
        <c:smooth val="0"/>
        <c:axId val="316953344"/>
        <c:axId val="316954880"/>
      </c:lineChart>
      <c:catAx>
        <c:axId val="316953344"/>
        <c:scaling>
          <c:orientation val="minMax"/>
        </c:scaling>
        <c:delete val="0"/>
        <c:axPos val="b"/>
        <c:majorTickMark val="out"/>
        <c:minorTickMark val="none"/>
        <c:tickLblPos val="nextTo"/>
        <c:crossAx val="316954880"/>
        <c:crosses val="autoZero"/>
        <c:auto val="1"/>
        <c:lblAlgn val="ctr"/>
        <c:lblOffset val="100"/>
        <c:noMultiLvlLbl val="0"/>
      </c:catAx>
      <c:valAx>
        <c:axId val="316954880"/>
        <c:scaling>
          <c:orientation val="minMax"/>
        </c:scaling>
        <c:delete val="0"/>
        <c:axPos val="l"/>
        <c:majorGridlines>
          <c:spPr>
            <a:ln>
              <a:noFill/>
            </a:ln>
          </c:spPr>
        </c:majorGridlines>
        <c:numFmt formatCode="_(* #,##0_);_(* \(#,##0\);_(* &quot;-&quot;??_);_(@_)" sourceLinked="1"/>
        <c:majorTickMark val="out"/>
        <c:minorTickMark val="none"/>
        <c:tickLblPos val="nextTo"/>
        <c:crossAx val="316953344"/>
        <c:crosses val="autoZero"/>
        <c:crossBetween val="between"/>
      </c:valAx>
    </c:plotArea>
    <c:legend>
      <c:legendPos val="r"/>
      <c:layout>
        <c:manualLayout>
          <c:xMode val="edge"/>
          <c:yMode val="edge"/>
          <c:x val="0.43526334208223966"/>
          <c:y val="0.54591243802857981"/>
          <c:w val="0.16473665791776029"/>
          <c:h val="0.16743438320209975"/>
        </c:manualLayout>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Asset Value</a:t>
            </a:r>
            <a:r>
              <a:rPr lang="en-US" baseline="0"/>
              <a:t> History</a:t>
            </a:r>
            <a:endParaRPr lang="en-US"/>
          </a:p>
        </c:rich>
      </c:tx>
      <c:overlay val="0"/>
    </c:title>
    <c:autoTitleDeleted val="0"/>
    <c:plotArea>
      <c:layout>
        <c:manualLayout>
          <c:layoutTarget val="inner"/>
          <c:xMode val="edge"/>
          <c:yMode val="edge"/>
          <c:x val="0.19698862642169729"/>
          <c:y val="0.17177092446777487"/>
          <c:w val="0.70553783902012246"/>
          <c:h val="0.67486512102653839"/>
        </c:manualLayout>
      </c:layout>
      <c:lineChart>
        <c:grouping val="standard"/>
        <c:varyColors val="0"/>
        <c:ser>
          <c:idx val="0"/>
          <c:order val="0"/>
          <c:tx>
            <c:v>Actuarial Value (AVA)</c:v>
          </c:tx>
          <c:marker>
            <c:symbol val="none"/>
          </c:marker>
          <c:cat>
            <c:numRef>
              <c:f>'MVA AVA'!$J$11:$J$28</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'MVA AVA'!$K$11:$K$28</c:f>
              <c:numCache>
                <c:formatCode>_(* #,##0_);_(* \(#,##0\);_(* "-"??_);_(@_)</c:formatCode>
                <c:ptCount val="18"/>
                <c:pt idx="0">
                  <c:v>161947918</c:v>
                </c:pt>
                <c:pt idx="1">
                  <c:v>182832711</c:v>
                </c:pt>
                <c:pt idx="2">
                  <c:v>210949575</c:v>
                </c:pt>
                <c:pt idx="3">
                  <c:v>251976209</c:v>
                </c:pt>
                <c:pt idx="4">
                  <c:v>295787955</c:v>
                </c:pt>
                <c:pt idx="5">
                  <c:v>324838527</c:v>
                </c:pt>
                <c:pt idx="6">
                  <c:v>336341581</c:v>
                </c:pt>
                <c:pt idx="7">
                  <c:v>316754439</c:v>
                </c:pt>
                <c:pt idx="8">
                  <c:v>322422386</c:v>
                </c:pt>
                <c:pt idx="9">
                  <c:v>341626690</c:v>
                </c:pt>
                <c:pt idx="10">
                  <c:v>366694837</c:v>
                </c:pt>
                <c:pt idx="11">
                  <c:v>394859457</c:v>
                </c:pt>
                <c:pt idx="12">
                  <c:v>428586640</c:v>
                </c:pt>
                <c:pt idx="13">
                  <c:v>460588550</c:v>
                </c:pt>
                <c:pt idx="14">
                  <c:v>482467121</c:v>
                </c:pt>
                <c:pt idx="15">
                  <c:v>502875852</c:v>
                </c:pt>
                <c:pt idx="16">
                  <c:v>523830732</c:v>
                </c:pt>
                <c:pt idx="17">
                  <c:v>541235690</c:v>
                </c:pt>
              </c:numCache>
            </c:numRef>
          </c:val>
          <c:smooth val="0"/>
          <c:extLst>
            <c:ext xmlns:c16="http://schemas.microsoft.com/office/drawing/2014/chart" uri="{C3380CC4-5D6E-409C-BE32-E72D297353CC}">
              <c16:uniqueId val="{00000000-BD84-4EA9-982D-3C564ACA4D2E}"/>
            </c:ext>
          </c:extLst>
        </c:ser>
        <c:ser>
          <c:idx val="1"/>
          <c:order val="1"/>
          <c:tx>
            <c:v>Market Value (MVA)</c:v>
          </c:tx>
          <c:marker>
            <c:symbol val="none"/>
          </c:marker>
          <c:cat>
            <c:numRef>
              <c:f>'MVA AVA'!$J$11:$J$28</c:f>
              <c:numCache>
                <c:formatCode>General</c:formatCode>
                <c:ptCount val="1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numCache>
            </c:numRef>
          </c:cat>
          <c:val>
            <c:numRef>
              <c:f>'MVA AVA'!$L$11:$L$28</c:f>
              <c:numCache>
                <c:formatCode>_(* #,##0_);_(* \(#,##0\);_(* "-"??_);_(@_)</c:formatCode>
                <c:ptCount val="18"/>
                <c:pt idx="0">
                  <c:v>172156817</c:v>
                </c:pt>
                <c:pt idx="1">
                  <c:v>196340970</c:v>
                </c:pt>
                <c:pt idx="2">
                  <c:v>234388416</c:v>
                </c:pt>
                <c:pt idx="3">
                  <c:v>279973565</c:v>
                </c:pt>
                <c:pt idx="4">
                  <c:v>315184746</c:v>
                </c:pt>
                <c:pt idx="5">
                  <c:v>342076625</c:v>
                </c:pt>
                <c:pt idx="6">
                  <c:v>313595936</c:v>
                </c:pt>
                <c:pt idx="7">
                  <c:v>287958581</c:v>
                </c:pt>
                <c:pt idx="8">
                  <c:v>293111260</c:v>
                </c:pt>
                <c:pt idx="9">
                  <c:v>336248138</c:v>
                </c:pt>
                <c:pt idx="10">
                  <c:v>377353905</c:v>
                </c:pt>
                <c:pt idx="11">
                  <c:v>419427695</c:v>
                </c:pt>
                <c:pt idx="12">
                  <c:v>499032915</c:v>
                </c:pt>
                <c:pt idx="13">
                  <c:v>471826048</c:v>
                </c:pt>
                <c:pt idx="14">
                  <c:v>353644081</c:v>
                </c:pt>
                <c:pt idx="15">
                  <c:v>395265970</c:v>
                </c:pt>
                <c:pt idx="16">
                  <c:v>467354699</c:v>
                </c:pt>
                <c:pt idx="17">
                  <c:v>452280835</c:v>
                </c:pt>
              </c:numCache>
            </c:numRef>
          </c:val>
          <c:smooth val="0"/>
          <c:extLst>
            <c:ext xmlns:c16="http://schemas.microsoft.com/office/drawing/2014/chart" uri="{C3380CC4-5D6E-409C-BE32-E72D297353CC}">
              <c16:uniqueId val="{00000001-BD84-4EA9-982D-3C564ACA4D2E}"/>
            </c:ext>
          </c:extLst>
        </c:ser>
        <c:dLbls>
          <c:showLegendKey val="0"/>
          <c:showVal val="0"/>
          <c:showCatName val="0"/>
          <c:showSerName val="0"/>
          <c:showPercent val="0"/>
          <c:showBubbleSize val="0"/>
        </c:dLbls>
        <c:smooth val="0"/>
        <c:axId val="316979840"/>
        <c:axId val="317215104"/>
      </c:lineChart>
      <c:catAx>
        <c:axId val="316979840"/>
        <c:scaling>
          <c:orientation val="minMax"/>
        </c:scaling>
        <c:delete val="0"/>
        <c:axPos val="b"/>
        <c:numFmt formatCode="General" sourceLinked="1"/>
        <c:majorTickMark val="out"/>
        <c:minorTickMark val="none"/>
        <c:tickLblPos val="nextTo"/>
        <c:crossAx val="317215104"/>
        <c:crosses val="autoZero"/>
        <c:auto val="1"/>
        <c:lblAlgn val="ctr"/>
        <c:lblOffset val="100"/>
        <c:noMultiLvlLbl val="0"/>
      </c:catAx>
      <c:valAx>
        <c:axId val="317215104"/>
        <c:scaling>
          <c:orientation val="minMax"/>
        </c:scaling>
        <c:delete val="0"/>
        <c:axPos val="l"/>
        <c:majorGridlines/>
        <c:numFmt formatCode="_(* #,##0_);_(* \(#,##0\);_(* &quot;-&quot;??_);_(@_)" sourceLinked="1"/>
        <c:majorTickMark val="out"/>
        <c:minorTickMark val="none"/>
        <c:tickLblPos val="nextTo"/>
        <c:crossAx val="316979840"/>
        <c:crosses val="autoZero"/>
        <c:crossBetween val="between"/>
      </c:valAx>
      <c:spPr>
        <a:noFill/>
      </c:spPr>
    </c:plotArea>
    <c:legend>
      <c:legendPos val="r"/>
      <c:layout>
        <c:manualLayout>
          <c:xMode val="edge"/>
          <c:yMode val="edge"/>
          <c:x val="0.34293041777411554"/>
          <c:y val="0.65682921939615069"/>
          <c:w val="0.2956829524212693"/>
          <c:h val="0.15580326507545658"/>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Relative Cost (Savings) </a:t>
            </a:r>
            <a:br>
              <a:rPr lang="en-US" baseline="0"/>
            </a:br>
            <a:r>
              <a:rPr lang="en-US" baseline="0"/>
              <a:t>(Millions)</a:t>
            </a:r>
          </a:p>
        </c:rich>
      </c:tx>
      <c:overlay val="1"/>
    </c:title>
    <c:autoTitleDeleted val="0"/>
    <c:plotArea>
      <c:layout>
        <c:manualLayout>
          <c:layoutTarget val="inner"/>
          <c:xMode val="edge"/>
          <c:yMode val="edge"/>
          <c:x val="0.12506929133239145"/>
          <c:y val="0.23484701375410402"/>
          <c:w val="0.70992913385826772"/>
          <c:h val="0.73200491509397814"/>
        </c:manualLayout>
      </c:layout>
      <c:barChart>
        <c:barDir val="col"/>
        <c:grouping val="clustered"/>
        <c:varyColors val="0"/>
        <c:ser>
          <c:idx val="0"/>
          <c:order val="0"/>
          <c:tx>
            <c:strRef>
              <c:f>ChartData!$H$48</c:f>
              <c:strCache>
                <c:ptCount val="1"/>
                <c:pt idx="0">
                  <c:v>Current</c:v>
                </c:pt>
              </c:strCache>
            </c:strRef>
          </c:tx>
          <c:invertIfNegative val="0"/>
          <c:cat>
            <c:strRef>
              <c:f>ChartData!$C$49:$C$53</c:f>
              <c:strCache>
                <c:ptCount val="5"/>
                <c:pt idx="0">
                  <c:v>Yrs 1-5</c:v>
                </c:pt>
                <c:pt idx="1">
                  <c:v>Yrs 6-10</c:v>
                </c:pt>
                <c:pt idx="2">
                  <c:v>Yrs 11-15</c:v>
                </c:pt>
                <c:pt idx="3">
                  <c:v>Yrs 16-20</c:v>
                </c:pt>
                <c:pt idx="4">
                  <c:v>Yrs 21-30</c:v>
                </c:pt>
              </c:strCache>
            </c:strRef>
          </c:cat>
          <c:val>
            <c:numRef>
              <c:f>ChartData!$H$49:$H$53</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BADE-4446-B673-853582918FD2}"/>
            </c:ext>
          </c:extLst>
        </c:ser>
        <c:ser>
          <c:idx val="1"/>
          <c:order val="1"/>
          <c:tx>
            <c:strRef>
              <c:f>ChartData!$I$48</c:f>
              <c:strCache>
                <c:ptCount val="1"/>
                <c:pt idx="0">
                  <c:v>+2016</c:v>
                </c:pt>
              </c:strCache>
            </c:strRef>
          </c:tx>
          <c:invertIfNegative val="0"/>
          <c:cat>
            <c:strRef>
              <c:f>ChartData!$C$49:$C$53</c:f>
              <c:strCache>
                <c:ptCount val="5"/>
                <c:pt idx="0">
                  <c:v>Yrs 1-5</c:v>
                </c:pt>
                <c:pt idx="1">
                  <c:v>Yrs 6-10</c:v>
                </c:pt>
                <c:pt idx="2">
                  <c:v>Yrs 11-15</c:v>
                </c:pt>
                <c:pt idx="3">
                  <c:v>Yrs 16-20</c:v>
                </c:pt>
                <c:pt idx="4">
                  <c:v>Yrs 21-30</c:v>
                </c:pt>
              </c:strCache>
            </c:strRef>
          </c:cat>
          <c:val>
            <c:numRef>
              <c:f>ChartData!$I$49:$I$53</c:f>
              <c:numCache>
                <c:formatCode>_(* #,##0_);_(* \(#,##0\);_(* "-"??_);_(@_)</c:formatCode>
                <c:ptCount val="5"/>
                <c:pt idx="0">
                  <c:v>-17.103124064589831</c:v>
                </c:pt>
                <c:pt idx="1">
                  <c:v>-46.206316391206926</c:v>
                </c:pt>
                <c:pt idx="2">
                  <c:v>-51.620571637467336</c:v>
                </c:pt>
                <c:pt idx="3">
                  <c:v>-52.660871423426812</c:v>
                </c:pt>
                <c:pt idx="4">
                  <c:v>-56.435543604225579</c:v>
                </c:pt>
              </c:numCache>
            </c:numRef>
          </c:val>
          <c:extLst>
            <c:ext xmlns:c16="http://schemas.microsoft.com/office/drawing/2014/chart" uri="{C3380CC4-5D6E-409C-BE32-E72D297353CC}">
              <c16:uniqueId val="{00000001-BADE-4446-B673-853582918FD2}"/>
            </c:ext>
          </c:extLst>
        </c:ser>
        <c:ser>
          <c:idx val="2"/>
          <c:order val="2"/>
          <c:tx>
            <c:strRef>
              <c:f>ChartData!$J$48</c:f>
              <c:strCache>
                <c:ptCount val="1"/>
                <c:pt idx="0">
                  <c:v>Alt 1</c:v>
                </c:pt>
              </c:strCache>
            </c:strRef>
          </c:tx>
          <c:invertIfNegative val="0"/>
          <c:cat>
            <c:strRef>
              <c:f>ChartData!$C$49:$C$53</c:f>
              <c:strCache>
                <c:ptCount val="5"/>
                <c:pt idx="0">
                  <c:v>Yrs 1-5</c:v>
                </c:pt>
                <c:pt idx="1">
                  <c:v>Yrs 6-10</c:v>
                </c:pt>
                <c:pt idx="2">
                  <c:v>Yrs 11-15</c:v>
                </c:pt>
                <c:pt idx="3">
                  <c:v>Yrs 16-20</c:v>
                </c:pt>
                <c:pt idx="4">
                  <c:v>Yrs 21-30</c:v>
                </c:pt>
              </c:strCache>
            </c:strRef>
          </c:cat>
          <c:val>
            <c:numRef>
              <c:f>ChartData!$J$49:$J$53</c:f>
              <c:numCache>
                <c:formatCode>_(* #,##0_);_(* \(#,##0\);_(* "-"??_);_(@_)</c:formatCode>
                <c:ptCount val="5"/>
                <c:pt idx="0">
                  <c:v>-17.283233419327551</c:v>
                </c:pt>
                <c:pt idx="1">
                  <c:v>4.2820450095340377</c:v>
                </c:pt>
                <c:pt idx="2">
                  <c:v>3.0188507407765641</c:v>
                </c:pt>
                <c:pt idx="3">
                  <c:v>-3.6818435784714061</c:v>
                </c:pt>
                <c:pt idx="4">
                  <c:v>0</c:v>
                </c:pt>
              </c:numCache>
            </c:numRef>
          </c:val>
          <c:extLst>
            <c:ext xmlns:c16="http://schemas.microsoft.com/office/drawing/2014/chart" uri="{C3380CC4-5D6E-409C-BE32-E72D297353CC}">
              <c16:uniqueId val="{00000002-BADE-4446-B673-853582918FD2}"/>
            </c:ext>
          </c:extLst>
        </c:ser>
        <c:ser>
          <c:idx val="3"/>
          <c:order val="3"/>
          <c:tx>
            <c:strRef>
              <c:f>ChartData!$K$48</c:f>
              <c:strCache>
                <c:ptCount val="1"/>
                <c:pt idx="0">
                  <c:v>Level</c:v>
                </c:pt>
              </c:strCache>
            </c:strRef>
          </c:tx>
          <c:invertIfNegative val="0"/>
          <c:cat>
            <c:strRef>
              <c:f>ChartData!$C$49:$C$53</c:f>
              <c:strCache>
                <c:ptCount val="5"/>
                <c:pt idx="0">
                  <c:v>Yrs 1-5</c:v>
                </c:pt>
                <c:pt idx="1">
                  <c:v>Yrs 6-10</c:v>
                </c:pt>
                <c:pt idx="2">
                  <c:v>Yrs 11-15</c:v>
                </c:pt>
                <c:pt idx="3">
                  <c:v>Yrs 16-20</c:v>
                </c:pt>
                <c:pt idx="4">
                  <c:v>Yrs 21-30</c:v>
                </c:pt>
              </c:strCache>
            </c:strRef>
          </c:cat>
          <c:val>
            <c:numRef>
              <c:f>ChartData!$K$49:$K$53</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3-BADE-4446-B673-853582918FD2}"/>
            </c:ext>
          </c:extLst>
        </c:ser>
        <c:dLbls>
          <c:showLegendKey val="0"/>
          <c:showVal val="0"/>
          <c:showCatName val="0"/>
          <c:showSerName val="0"/>
          <c:showPercent val="0"/>
          <c:showBubbleSize val="0"/>
        </c:dLbls>
        <c:gapWidth val="150"/>
        <c:axId val="124441728"/>
        <c:axId val="124443264"/>
      </c:barChart>
      <c:catAx>
        <c:axId val="124441728"/>
        <c:scaling>
          <c:orientation val="minMax"/>
        </c:scaling>
        <c:delete val="0"/>
        <c:axPos val="b"/>
        <c:numFmt formatCode="General" sourceLinked="0"/>
        <c:majorTickMark val="out"/>
        <c:minorTickMark val="none"/>
        <c:tickLblPos val="nextTo"/>
        <c:txPr>
          <a:bodyPr/>
          <a:lstStyle/>
          <a:p>
            <a:pPr>
              <a:defRPr sz="1200" b="1"/>
            </a:pPr>
            <a:endParaRPr lang="en-US"/>
          </a:p>
        </c:txPr>
        <c:crossAx val="124443264"/>
        <c:crosses val="autoZero"/>
        <c:auto val="1"/>
        <c:lblAlgn val="ctr"/>
        <c:lblOffset val="100"/>
        <c:noMultiLvlLbl val="0"/>
      </c:catAx>
      <c:valAx>
        <c:axId val="124443264"/>
        <c:scaling>
          <c:orientation val="minMax"/>
        </c:scaling>
        <c:delete val="0"/>
        <c:axPos val="l"/>
        <c:majorGridlines/>
        <c:numFmt formatCode="&quot;$&quot;#,##0" sourceLinked="0"/>
        <c:majorTickMark val="out"/>
        <c:minorTickMark val="none"/>
        <c:tickLblPos val="nextTo"/>
        <c:crossAx val="124441728"/>
        <c:crosses val="autoZero"/>
        <c:crossBetween val="between"/>
      </c:valAx>
    </c:plotArea>
    <c:legend>
      <c:legendPos val="r"/>
      <c:overlay val="0"/>
      <c:txPr>
        <a:bodyPr/>
        <a:lstStyle/>
        <a:p>
          <a:pPr>
            <a:defRPr sz="1200"/>
          </a:pPr>
          <a:endParaRPr lang="en-US"/>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27296587926502E-2"/>
          <c:y val="0.21806722076407115"/>
          <c:w val="0.8816373578302712"/>
          <c:h val="0.56410104986876641"/>
        </c:manualLayout>
      </c:layout>
      <c:lineChart>
        <c:grouping val="standard"/>
        <c:varyColors val="0"/>
        <c:ser>
          <c:idx val="0"/>
          <c:order val="0"/>
          <c:tx>
            <c:strRef>
              <c:f>ChartData!$L$9</c:f>
              <c:strCache>
                <c:ptCount val="1"/>
                <c:pt idx="0">
                  <c:v>Current</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ChartData!$L$10:$L$40</c:f>
              <c:numCache>
                <c:formatCode>_(* #,##0_);_(* \(#,##0\);_(* "-"??_);_(@_)</c:formatCode>
                <c:ptCount val="30"/>
                <c:pt idx="0">
                  <c:v>273.11712531406926</c:v>
                </c:pt>
                <c:pt idx="1">
                  <c:v>267.57511396542657</c:v>
                </c:pt>
                <c:pt idx="2">
                  <c:v>261.59798350137874</c:v>
                </c:pt>
                <c:pt idx="3">
                  <c:v>255.01653661642106</c:v>
                </c:pt>
                <c:pt idx="4">
                  <c:v>247.79952841842936</c:v>
                </c:pt>
                <c:pt idx="5">
                  <c:v>238.77625181063277</c:v>
                </c:pt>
                <c:pt idx="6">
                  <c:v>228.24798222007607</c:v>
                </c:pt>
                <c:pt idx="7">
                  <c:v>216.07699775593696</c:v>
                </c:pt>
                <c:pt idx="8">
                  <c:v>202.11450196306808</c:v>
                </c:pt>
                <c:pt idx="9">
                  <c:v>186.19977086699711</c:v>
                </c:pt>
                <c:pt idx="10">
                  <c:v>168.1592353764218</c:v>
                </c:pt>
                <c:pt idx="11">
                  <c:v>147.80549417488538</c:v>
                </c:pt>
                <c:pt idx="12">
                  <c:v>124.93625186759068</c:v>
                </c:pt>
                <c:pt idx="13">
                  <c:v>99.33317675613651</c:v>
                </c:pt>
                <c:pt idx="14">
                  <c:v>70.760672191277564</c:v>
                </c:pt>
                <c:pt idx="15">
                  <c:v>38.964554999407113</c:v>
                </c:pt>
                <c:pt idx="16">
                  <c:v>3.6706339899598843</c:v>
                </c:pt>
                <c:pt idx="17">
                  <c:v>-35.416818974227986</c:v>
                </c:pt>
                <c:pt idx="18">
                  <c:v>-33.201890519365342</c:v>
                </c:pt>
                <c:pt idx="19">
                  <c:v>-30.674706734050094</c:v>
                </c:pt>
                <c:pt idx="20">
                  <c:v>-27.807464397608182</c:v>
                </c:pt>
                <c:pt idx="21">
                  <c:v>-24.570143525688248</c:v>
                </c:pt>
                <c:pt idx="22">
                  <c:v>-20.930337167322104</c:v>
                </c:pt>
                <c:pt idx="23">
                  <c:v>-16.853068318394715</c:v>
                </c:pt>
                <c:pt idx="24">
                  <c:v>-12.300592981703479</c:v>
                </c:pt>
                <c:pt idx="25">
                  <c:v>-7.2321883309432788</c:v>
                </c:pt>
                <c:pt idx="26">
                  <c:v>-3.7211335445161891</c:v>
                </c:pt>
                <c:pt idx="27">
                  <c:v>-1.0963051669822717</c:v>
                </c:pt>
                <c:pt idx="28">
                  <c:v>0.50320836789885259</c:v>
                </c:pt>
                <c:pt idx="29">
                  <c:v>0.92456430661583111</c:v>
                </c:pt>
              </c:numCache>
            </c:numRef>
          </c:val>
          <c:smooth val="0"/>
          <c:extLst>
            <c:ext xmlns:c16="http://schemas.microsoft.com/office/drawing/2014/chart" uri="{C3380CC4-5D6E-409C-BE32-E72D297353CC}">
              <c16:uniqueId val="{00000000-ED07-4353-B1ED-09A75930A20B}"/>
            </c:ext>
          </c:extLst>
        </c:ser>
        <c:ser>
          <c:idx val="1"/>
          <c:order val="1"/>
          <c:tx>
            <c:strRef>
              <c:f>ChartData!$N$9</c:f>
              <c:strCache>
                <c:ptCount val="1"/>
                <c:pt idx="0">
                  <c:v>2016+</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ChartData!$N$10:$N$29</c:f>
              <c:numCache>
                <c:formatCode>_(* #,##0_);_(* \(#,##0\);_(* "-"??_);_(@_)</c:formatCode>
                <c:ptCount val="20"/>
                <c:pt idx="0">
                  <c:v>341.11112870063863</c:v>
                </c:pt>
                <c:pt idx="1">
                  <c:v>367.20531648542703</c:v>
                </c:pt>
                <c:pt idx="2">
                  <c:v>366.45260442382403</c:v>
                </c:pt>
                <c:pt idx="3">
                  <c:v>364.25105024551431</c:v>
                </c:pt>
                <c:pt idx="4">
                  <c:v>360.37004857055717</c:v>
                </c:pt>
                <c:pt idx="5">
                  <c:v>353.04705475703008</c:v>
                </c:pt>
                <c:pt idx="6">
                  <c:v>342.33713570698455</c:v>
                </c:pt>
                <c:pt idx="7">
                  <c:v>328.88874235388079</c:v>
                </c:pt>
                <c:pt idx="8">
                  <c:v>312.72553451631035</c:v>
                </c:pt>
                <c:pt idx="9">
                  <c:v>294.25533953603968</c:v>
                </c:pt>
                <c:pt idx="10">
                  <c:v>273.28140143525781</c:v>
                </c:pt>
                <c:pt idx="11">
                  <c:v>249.59213331137201</c:v>
                </c:pt>
                <c:pt idx="12">
                  <c:v>222.96004743208357</c:v>
                </c:pt>
                <c:pt idx="13">
                  <c:v>193.14060948491237</c:v>
                </c:pt>
                <c:pt idx="14">
                  <c:v>159.87101164341669</c:v>
                </c:pt>
                <c:pt idx="15">
                  <c:v>122.86885873785317</c:v>
                </c:pt>
                <c:pt idx="16">
                  <c:v>81.830761417282076</c:v>
                </c:pt>
                <c:pt idx="17">
                  <c:v>36.430829761304395</c:v>
                </c:pt>
                <c:pt idx="18">
                  <c:v>30.451388735848607</c:v>
                </c:pt>
                <c:pt idx="19">
                  <c:v>24.648247004398748</c:v>
                </c:pt>
              </c:numCache>
            </c:numRef>
          </c:val>
          <c:smooth val="0"/>
          <c:extLst>
            <c:ext xmlns:c16="http://schemas.microsoft.com/office/drawing/2014/chart" uri="{C3380CC4-5D6E-409C-BE32-E72D297353CC}">
              <c16:uniqueId val="{00000001-ED07-4353-B1ED-09A75930A20B}"/>
            </c:ext>
          </c:extLst>
        </c:ser>
        <c:ser>
          <c:idx val="2"/>
          <c:order val="2"/>
          <c:tx>
            <c:strRef>
              <c:f>ChartData!$P$9</c:f>
              <c:strCache>
                <c:ptCount val="1"/>
                <c:pt idx="0">
                  <c:v>Alt 1</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ChartData!$P$10:$P$25</c:f>
              <c:numCache>
                <c:formatCode>_(* #,##0_);_(* \(#,##0\);_(* "-"??_);_(@_)</c:formatCode>
                <c:ptCount val="16"/>
                <c:pt idx="0">
                  <c:v>371.85672909223365</c:v>
                </c:pt>
                <c:pt idx="1">
                  <c:v>367.68578402256765</c:v>
                </c:pt>
                <c:pt idx="2">
                  <c:v>362.25719501925772</c:v>
                </c:pt>
                <c:pt idx="3">
                  <c:v>355.44948290141701</c:v>
                </c:pt>
                <c:pt idx="4">
                  <c:v>347.13132608941783</c:v>
                </c:pt>
                <c:pt idx="5">
                  <c:v>337.1608063063295</c:v>
                </c:pt>
                <c:pt idx="6">
                  <c:v>325.38459763116327</c:v>
                </c:pt>
                <c:pt idx="7">
                  <c:v>311.6370946815826</c:v>
                </c:pt>
                <c:pt idx="8">
                  <c:v>295.73947538983941</c:v>
                </c:pt>
                <c:pt idx="9">
                  <c:v>277.49869349849854</c:v>
                </c:pt>
                <c:pt idx="10">
                  <c:v>256.70639554024325</c:v>
                </c:pt>
                <c:pt idx="11">
                  <c:v>233.13775667689436</c:v>
                </c:pt>
                <c:pt idx="12">
                  <c:v>206.5502293546856</c:v>
                </c:pt>
                <c:pt idx="13">
                  <c:v>176.68219828370243</c:v>
                </c:pt>
                <c:pt idx="14">
                  <c:v>143.25153476687908</c:v>
                </c:pt>
                <c:pt idx="15">
                  <c:v>105.95404288559826</c:v>
                </c:pt>
              </c:numCache>
            </c:numRef>
          </c:val>
          <c:smooth val="0"/>
          <c:extLst>
            <c:ext xmlns:c16="http://schemas.microsoft.com/office/drawing/2014/chart" uri="{C3380CC4-5D6E-409C-BE32-E72D297353CC}">
              <c16:uniqueId val="{00000002-ED07-4353-B1ED-09A75930A20B}"/>
            </c:ext>
          </c:extLst>
        </c:ser>
        <c:ser>
          <c:idx val="3"/>
          <c:order val="3"/>
          <c:tx>
            <c:strRef>
              <c:f>ChartData!$R$9</c:f>
              <c:strCache>
                <c:ptCount val="1"/>
                <c:pt idx="0">
                  <c:v>Level Pmt</c:v>
                </c:pt>
              </c:strCache>
            </c:strRef>
          </c:tx>
          <c:marker>
            <c:symbol val="none"/>
          </c:marker>
          <c:cat>
            <c:numRef>
              <c:f>ChartData!$C$10:$C$39</c:f>
              <c:numCache>
                <c:formatCode>General</c:formatCode>
                <c:ptCount val="30"/>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numCache>
            </c:numRef>
          </c:cat>
          <c:val>
            <c:numRef>
              <c:f>ChartData!$R$10:$R$20</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3-ED07-4353-B1ED-09A75930A20B}"/>
            </c:ext>
          </c:extLst>
        </c:ser>
        <c:dLbls>
          <c:showLegendKey val="0"/>
          <c:showVal val="0"/>
          <c:showCatName val="0"/>
          <c:showSerName val="0"/>
          <c:showPercent val="0"/>
          <c:showBubbleSize val="0"/>
        </c:dLbls>
        <c:smooth val="0"/>
        <c:axId val="126420096"/>
        <c:axId val="126421632"/>
      </c:lineChart>
      <c:catAx>
        <c:axId val="126420096"/>
        <c:scaling>
          <c:orientation val="minMax"/>
        </c:scaling>
        <c:delete val="0"/>
        <c:axPos val="b"/>
        <c:numFmt formatCode="General" sourceLinked="1"/>
        <c:majorTickMark val="out"/>
        <c:minorTickMark val="none"/>
        <c:tickLblPos val="low"/>
        <c:txPr>
          <a:bodyPr rot="5400000" vert="horz"/>
          <a:lstStyle/>
          <a:p>
            <a:pPr>
              <a:defRPr sz="1200"/>
            </a:pPr>
            <a:endParaRPr lang="en-US"/>
          </a:p>
        </c:txPr>
        <c:crossAx val="126421632"/>
        <c:crosses val="autoZero"/>
        <c:auto val="1"/>
        <c:lblAlgn val="ctr"/>
        <c:lblOffset val="100"/>
        <c:tickLblSkip val="2"/>
        <c:noMultiLvlLbl val="0"/>
      </c:catAx>
      <c:valAx>
        <c:axId val="126421632"/>
        <c:scaling>
          <c:orientation val="minMax"/>
        </c:scaling>
        <c:delete val="0"/>
        <c:axPos val="l"/>
        <c:majorGridlines/>
        <c:numFmt formatCode="&quot;$&quot;#,##0" sourceLinked="0"/>
        <c:majorTickMark val="out"/>
        <c:minorTickMark val="none"/>
        <c:tickLblPos val="nextTo"/>
        <c:crossAx val="126420096"/>
        <c:crossesAt val="1"/>
        <c:crossBetween val="midCat"/>
      </c:valAx>
    </c:plotArea>
    <c:legend>
      <c:legendPos val="r"/>
      <c:overlay val="0"/>
      <c:txPr>
        <a:bodyPr/>
        <a:lstStyle/>
        <a:p>
          <a:pPr>
            <a:defRPr sz="1200"/>
          </a:pPr>
          <a:endParaRPr lang="en-US"/>
        </a:p>
      </c:txPr>
    </c:legend>
    <c:plotVisOnly val="1"/>
    <c:dispBlanksAs val="gap"/>
    <c:showDLblsOverMax val="0"/>
  </c:chart>
  <c:spPr>
    <a:ln>
      <a:noFill/>
    </a:ln>
  </c:spPr>
  <c:printSettings>
    <c:headerFooter/>
    <c:pageMargins b="0.75" l="0.7" r="0.7" t="0.75" header="0.3" footer="0.3"/>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Unfunded Liability Attribution Analysis</a:t>
            </a:r>
          </a:p>
        </c:rich>
      </c:tx>
      <c:overlay val="1"/>
    </c:title>
    <c:autoTitleDeleted val="0"/>
    <c:plotArea>
      <c:layout>
        <c:manualLayout>
          <c:layoutTarget val="inner"/>
          <c:xMode val="edge"/>
          <c:yMode val="edge"/>
          <c:x val="2.0001380795841482E-2"/>
          <c:y val="0.1656915299380681"/>
          <c:w val="0.51564732476157638"/>
          <c:h val="0.74743467411401165"/>
        </c:manualLayout>
      </c:layout>
      <c:pieChart>
        <c:varyColors val="1"/>
        <c:ser>
          <c:idx val="0"/>
          <c:order val="0"/>
          <c:dPt>
            <c:idx val="0"/>
            <c:bubble3D val="0"/>
            <c:explosion val="22"/>
            <c:extLst>
              <c:ext xmlns:c16="http://schemas.microsoft.com/office/drawing/2014/chart" uri="{C3380CC4-5D6E-409C-BE32-E72D297353CC}">
                <c16:uniqueId val="{00000000-AAF3-47F1-85EF-11AD3BE1DECA}"/>
              </c:ext>
            </c:extLst>
          </c:dPt>
          <c:dPt>
            <c:idx val="1"/>
            <c:bubble3D val="0"/>
            <c:extLst>
              <c:ext xmlns:c16="http://schemas.microsoft.com/office/drawing/2014/chart" uri="{C3380CC4-5D6E-409C-BE32-E72D297353CC}">
                <c16:uniqueId val="{00000001-AAF3-47F1-85EF-11AD3BE1DECA}"/>
              </c:ext>
            </c:extLst>
          </c:dPt>
          <c:dLbls>
            <c:dLbl>
              <c:idx val="0"/>
              <c:layout>
                <c:manualLayout>
                  <c:x val="-0.10704147008017001"/>
                  <c:y val="0.13928733046300246"/>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AF3-47F1-85EF-11AD3BE1DECA}"/>
                </c:ext>
              </c:extLst>
            </c:dLbl>
            <c:dLbl>
              <c:idx val="1"/>
              <c:layout>
                <c:manualLayout>
                  <c:x val="0.10824128176387927"/>
                  <c:y val="-0.1206632791590706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AF3-47F1-85EF-11AD3BE1DECA}"/>
                </c:ext>
              </c:extLst>
            </c:dLbl>
            <c:spPr>
              <a:noFill/>
              <a:ln>
                <a:noFill/>
              </a:ln>
              <a:effectLst/>
            </c:spPr>
            <c:txPr>
              <a:bodyPr/>
              <a:lstStyle/>
              <a:p>
                <a:pPr>
                  <a:defRPr sz="1400"/>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ChartData!$Z$16:$Z$17</c:f>
              <c:strCache>
                <c:ptCount val="2"/>
                <c:pt idx="0">
                  <c:v>Active Employees</c:v>
                </c:pt>
                <c:pt idx="1">
                  <c:v>Retired, Terminated or Transferred Plan Participants</c:v>
                </c:pt>
              </c:strCache>
            </c:strRef>
          </c:cat>
          <c:val>
            <c:numRef>
              <c:f>ChartData!$AC$16:$AC$17</c:f>
              <c:numCache>
                <c:formatCode>0%</c:formatCode>
                <c:ptCount val="2"/>
                <c:pt idx="0">
                  <c:v>0.29990120427391037</c:v>
                </c:pt>
                <c:pt idx="1">
                  <c:v>0.70009879572608957</c:v>
                </c:pt>
              </c:numCache>
            </c:numRef>
          </c:val>
          <c:extLst>
            <c:ext xmlns:c16="http://schemas.microsoft.com/office/drawing/2014/chart" uri="{C3380CC4-5D6E-409C-BE32-E72D297353CC}">
              <c16:uniqueId val="{00000002-AAF3-47F1-85EF-11AD3BE1DECA}"/>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9544505047918628"/>
          <c:y val="0.58534010834852535"/>
          <c:w val="0.32462959267980485"/>
          <c:h val="0.31558512082541407"/>
        </c:manualLayout>
      </c:layout>
      <c:overlay val="0"/>
      <c:txPr>
        <a:bodyPr/>
        <a:lstStyle/>
        <a:p>
          <a:pPr rtl="0">
            <a:defRPr sz="1400"/>
          </a:pPr>
          <a:endParaRPr lang="en-US"/>
        </a:p>
      </c:txPr>
    </c:legend>
    <c:plotVisOnly val="1"/>
    <c:dispBlanksAs val="gap"/>
    <c:showDLblsOverMax val="0"/>
  </c:chart>
  <c:spPr>
    <a:noFill/>
    <a:ln>
      <a:no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UAL</a:t>
            </a:r>
            <a:r>
              <a:rPr lang="en-US" baseline="0"/>
              <a:t> Balance</a:t>
            </a:r>
            <a:endParaRPr lang="en-US"/>
          </a:p>
        </c:rich>
      </c:tx>
      <c:overlay val="0"/>
    </c:title>
    <c:autoTitleDeleted val="0"/>
    <c:plotArea>
      <c:layout/>
      <c:lineChart>
        <c:grouping val="standard"/>
        <c:varyColors val="0"/>
        <c:ser>
          <c:idx val="0"/>
          <c:order val="0"/>
          <c:tx>
            <c:v>Current Amort</c:v>
          </c:tx>
          <c:marker>
            <c:symbol val="none"/>
          </c:marker>
          <c:val>
            <c:numRef>
              <c:f>Total!$J$5:$J$37</c:f>
              <c:numCache>
                <c:formatCode>_(* #,##0_);_(* \(#,##0\);_(* "-"??_);_(@_)</c:formatCode>
                <c:ptCount val="33"/>
                <c:pt idx="0">
                  <c:v>264406815</c:v>
                </c:pt>
                <c:pt idx="1">
                  <c:v>269176213</c:v>
                </c:pt>
                <c:pt idx="2">
                  <c:v>302062283.53782773</c:v>
                </c:pt>
                <c:pt idx="3">
                  <c:v>316769481.49116087</c:v>
                </c:pt>
                <c:pt idx="4">
                  <c:v>319621753.52388012</c:v>
                </c:pt>
                <c:pt idx="5">
                  <c:v>320892568.43667662</c:v>
                </c:pt>
                <c:pt idx="6">
                  <c:v>320616831.59041774</c:v>
                </c:pt>
                <c:pt idx="7">
                  <c:v>317930200.18951952</c:v>
                </c:pt>
                <c:pt idx="8">
                  <c:v>313449337.73395991</c:v>
                </c:pt>
                <c:pt idx="9">
                  <c:v>307424489.23220396</c:v>
                </c:pt>
                <c:pt idx="10">
                  <c:v>299829828.20070583</c:v>
                </c:pt>
                <c:pt idx="11">
                  <c:v>290795931.44159853</c:v>
                </c:pt>
                <c:pt idx="12">
                  <c:v>280192260.80550694</c:v>
                </c:pt>
                <c:pt idx="13">
                  <c:v>267878054.47078788</c:v>
                </c:pt>
                <c:pt idx="14">
                  <c:v>253701564.28748995</c:v>
                </c:pt>
                <c:pt idx="15">
                  <c:v>237499237.2440021</c:v>
                </c:pt>
                <c:pt idx="16">
                  <c:v>219094836.9891299</c:v>
                </c:pt>
                <c:pt idx="17">
                  <c:v>198298501.0468739</c:v>
                </c:pt>
                <c:pt idx="18">
                  <c:v>174905729.04425448</c:v>
                </c:pt>
                <c:pt idx="19">
                  <c:v>148696296.9325797</c:v>
                </c:pt>
                <c:pt idx="20">
                  <c:v>135984692.00090271</c:v>
                </c:pt>
                <c:pt idx="21">
                  <c:v>121985307.17065348</c:v>
                </c:pt>
                <c:pt idx="22">
                  <c:v>106997108.00611083</c:v>
                </c:pt>
                <c:pt idx="23">
                  <c:v>90779609.921494007</c:v>
                </c:pt>
                <c:pt idx="24">
                  <c:v>73843454.988354057</c:v>
                </c:pt>
                <c:pt idx="25">
                  <c:v>55360983.211927831</c:v>
                </c:pt>
                <c:pt idx="26">
                  <c:v>35219033.597290933</c:v>
                </c:pt>
                <c:pt idx="27">
                  <c:v>29612177.285751391</c:v>
                </c:pt>
                <c:pt idx="28">
                  <c:v>22508358.082746468</c:v>
                </c:pt>
                <c:pt idx="29">
                  <c:v>15440755.327918671</c:v>
                </c:pt>
                <c:pt idx="30">
                  <c:v>9059215.5176146626</c:v>
                </c:pt>
                <c:pt idx="31">
                  <c:v>3495971.4389599678</c:v>
                </c:pt>
                <c:pt idx="32">
                  <c:v>0</c:v>
                </c:pt>
              </c:numCache>
            </c:numRef>
          </c:val>
          <c:smooth val="0"/>
          <c:extLst>
            <c:ext xmlns:c16="http://schemas.microsoft.com/office/drawing/2014/chart" uri="{C3380CC4-5D6E-409C-BE32-E72D297353CC}">
              <c16:uniqueId val="{00000000-F14C-475F-8E9E-E1458526EC73}"/>
            </c:ext>
          </c:extLst>
        </c:ser>
        <c:ser>
          <c:idx val="1"/>
          <c:order val="1"/>
          <c:tx>
            <c:v>19 Year Amort</c:v>
          </c:tx>
          <c:marker>
            <c:symbol val="none"/>
          </c:marker>
          <c:val>
            <c:numRef>
              <c:f>Total!$K$5:$K$37</c:f>
              <c:numCache>
                <c:formatCode>_(* #,##0_);_(* \(#,##0\);_(* "-"??_);_(@_)</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F14C-475F-8E9E-E1458526EC73}"/>
            </c:ext>
          </c:extLst>
        </c:ser>
        <c:dLbls>
          <c:showLegendKey val="0"/>
          <c:showVal val="0"/>
          <c:showCatName val="0"/>
          <c:showSerName val="0"/>
          <c:showPercent val="0"/>
          <c:showBubbleSize val="0"/>
        </c:dLbls>
        <c:hiLowLines/>
        <c:smooth val="0"/>
        <c:axId val="126653952"/>
        <c:axId val="126655872"/>
      </c:lineChart>
      <c:catAx>
        <c:axId val="126653952"/>
        <c:scaling>
          <c:orientation val="minMax"/>
        </c:scaling>
        <c:delete val="0"/>
        <c:axPos val="b"/>
        <c:title>
          <c:tx>
            <c:rich>
              <a:bodyPr/>
              <a:lstStyle/>
              <a:p>
                <a:pPr>
                  <a:defRPr/>
                </a:pPr>
                <a:r>
                  <a:rPr lang="en-US"/>
                  <a:t>Years</a:t>
                </a:r>
              </a:p>
            </c:rich>
          </c:tx>
          <c:overlay val="0"/>
        </c:title>
        <c:majorTickMark val="none"/>
        <c:minorTickMark val="none"/>
        <c:tickLblPos val="nextTo"/>
        <c:crossAx val="126655872"/>
        <c:crosses val="autoZero"/>
        <c:auto val="1"/>
        <c:lblAlgn val="ctr"/>
        <c:lblOffset val="100"/>
        <c:noMultiLvlLbl val="0"/>
      </c:catAx>
      <c:valAx>
        <c:axId val="126655872"/>
        <c:scaling>
          <c:orientation val="minMax"/>
        </c:scaling>
        <c:delete val="0"/>
        <c:axPos val="l"/>
        <c:majorGridlines/>
        <c:title>
          <c:tx>
            <c:rich>
              <a:bodyPr/>
              <a:lstStyle/>
              <a:p>
                <a:pPr>
                  <a:defRPr/>
                </a:pPr>
                <a:r>
                  <a:rPr lang="en-US"/>
                  <a:t>UAL Balance</a:t>
                </a:r>
              </a:p>
            </c:rich>
          </c:tx>
          <c:overlay val="0"/>
        </c:title>
        <c:numFmt formatCode="_(* #,##0_);_(* \(#,##0\);_(* &quot;-&quot;??_);_(@_)" sourceLinked="1"/>
        <c:majorTickMark val="out"/>
        <c:minorTickMark val="none"/>
        <c:tickLblPos val="nextTo"/>
        <c:crossAx val="126653952"/>
        <c:crosses val="autoZero"/>
        <c:crossBetween val="between"/>
      </c:valAx>
    </c:plotArea>
    <c:legend>
      <c:legendPos val="r"/>
      <c:overlay val="0"/>
    </c:legend>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UAL Payment</a:t>
            </a:r>
          </a:p>
        </c:rich>
      </c:tx>
      <c:overlay val="0"/>
    </c:title>
    <c:autoTitleDeleted val="0"/>
    <c:plotArea>
      <c:layout>
        <c:manualLayout>
          <c:layoutTarget val="inner"/>
          <c:xMode val="edge"/>
          <c:yMode val="edge"/>
          <c:x val="0.19441863736882137"/>
          <c:y val="0.1646669297571437"/>
          <c:w val="0.56821605841983325"/>
          <c:h val="0.75477906152635432"/>
        </c:manualLayout>
      </c:layout>
      <c:lineChart>
        <c:grouping val="standard"/>
        <c:varyColors val="0"/>
        <c:ser>
          <c:idx val="0"/>
          <c:order val="0"/>
          <c:tx>
            <c:v>Current Amort</c:v>
          </c:tx>
          <c:marker>
            <c:symbol val="none"/>
          </c:marker>
          <c:val>
            <c:numRef>
              <c:f>Total!$C$7:$C$36</c:f>
              <c:numCache>
                <c:formatCode>_(* #,##0_);_(* \(#,##0\);_(* "-"??_);_(@_)</c:formatCode>
                <c:ptCount val="30"/>
                <c:pt idx="0">
                  <c:v>18583373.288971506</c:v>
                </c:pt>
                <c:pt idx="1">
                  <c:v>19808625.226798475</c:v>
                </c:pt>
                <c:pt idx="2">
                  <c:v>21207136.654249743</c:v>
                </c:pt>
                <c:pt idx="3">
                  <c:v>22824274.042302266</c:v>
                </c:pt>
                <c:pt idx="4">
                  <c:v>25138436.386558264</c:v>
                </c:pt>
                <c:pt idx="5">
                  <c:v>26689915.516569845</c:v>
                </c:pt>
                <c:pt idx="6">
                  <c:v>27876022.66084861</c:v>
                </c:pt>
                <c:pt idx="7">
                  <c:v>28980370.087092318</c:v>
                </c:pt>
                <c:pt idx="8">
                  <c:v>29849781.189705096</c:v>
                </c:pt>
                <c:pt idx="9">
                  <c:v>30745274.625396244</c:v>
                </c:pt>
                <c:pt idx="10">
                  <c:v>31667632.864158131</c:v>
                </c:pt>
                <c:pt idx="11">
                  <c:v>32617661.850082889</c:v>
                </c:pt>
                <c:pt idx="12">
                  <c:v>33596191.705585375</c:v>
                </c:pt>
                <c:pt idx="13">
                  <c:v>34604077.456752926</c:v>
                </c:pt>
                <c:pt idx="14">
                  <c:v>35642199.780455522</c:v>
                </c:pt>
                <c:pt idx="15">
                  <c:v>36711465.773869187</c:v>
                </c:pt>
                <c:pt idx="16">
                  <c:v>37812809.747085258</c:v>
                </c:pt>
                <c:pt idx="17">
                  <c:v>22946158.190498807</c:v>
                </c:pt>
                <c:pt idx="18">
                  <c:v>23280635.052922226</c:v>
                </c:pt>
                <c:pt idx="19">
                  <c:v>23232329.902612362</c:v>
                </c:pt>
                <c:pt idx="20">
                  <c:v>23160173.871736262</c:v>
                </c:pt>
                <c:pt idx="21">
                  <c:v>22867798.666718423</c:v>
                </c:pt>
                <c:pt idx="22">
                  <c:v>23136193.370326173</c:v>
                </c:pt>
                <c:pt idx="23">
                  <c:v>23400110.737350352</c:v>
                </c:pt>
                <c:pt idx="24">
                  <c:v>7923580.9941672236</c:v>
                </c:pt>
                <c:pt idx="25">
                  <c:v>8963023.5683119725</c:v>
                </c:pt>
                <c:pt idx="26">
                  <c:v>8418798.4975870829</c:v>
                </c:pt>
                <c:pt idx="27">
                  <c:v>7252021.9392389338</c:v>
                </c:pt>
                <c:pt idx="28">
                  <c:v>6007661.8687420683</c:v>
                </c:pt>
                <c:pt idx="29">
                  <c:v>3025403.1047870666</c:v>
                </c:pt>
              </c:numCache>
            </c:numRef>
          </c:val>
          <c:smooth val="0"/>
          <c:extLst>
            <c:ext xmlns:c16="http://schemas.microsoft.com/office/drawing/2014/chart" uri="{C3380CC4-5D6E-409C-BE32-E72D297353CC}">
              <c16:uniqueId val="{00000000-B831-4348-9B41-9D5797CD4920}"/>
            </c:ext>
          </c:extLst>
        </c:ser>
        <c:ser>
          <c:idx val="1"/>
          <c:order val="1"/>
          <c:tx>
            <c:v>19 Year Amort</c:v>
          </c:tx>
          <c:marker>
            <c:symbol val="none"/>
          </c:marker>
          <c:val>
            <c:numRef>
              <c:f>Total!$D$7:$D$36</c:f>
              <c:numCache>
                <c:formatCode>_("$"* #,##0_);_("$"* \(#,##0\);_("$"* "-"_);_(@_)</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extLst>
            <c:ext xmlns:c16="http://schemas.microsoft.com/office/drawing/2014/chart" uri="{C3380CC4-5D6E-409C-BE32-E72D297353CC}">
              <c16:uniqueId val="{00000001-B831-4348-9B41-9D5797CD4920}"/>
            </c:ext>
          </c:extLst>
        </c:ser>
        <c:dLbls>
          <c:showLegendKey val="0"/>
          <c:showVal val="0"/>
          <c:showCatName val="0"/>
          <c:showSerName val="0"/>
          <c:showPercent val="0"/>
          <c:showBubbleSize val="0"/>
        </c:dLbls>
        <c:smooth val="0"/>
        <c:axId val="126780160"/>
        <c:axId val="126781696"/>
      </c:lineChart>
      <c:catAx>
        <c:axId val="126780160"/>
        <c:scaling>
          <c:orientation val="minMax"/>
        </c:scaling>
        <c:delete val="0"/>
        <c:axPos val="b"/>
        <c:majorTickMark val="none"/>
        <c:minorTickMark val="none"/>
        <c:tickLblPos val="nextTo"/>
        <c:crossAx val="126781696"/>
        <c:crosses val="autoZero"/>
        <c:auto val="1"/>
        <c:lblAlgn val="ctr"/>
        <c:lblOffset val="100"/>
        <c:noMultiLvlLbl val="0"/>
      </c:catAx>
      <c:valAx>
        <c:axId val="126781696"/>
        <c:scaling>
          <c:orientation val="minMax"/>
        </c:scaling>
        <c:delete val="0"/>
        <c:axPos val="l"/>
        <c:majorGridlines/>
        <c:title>
          <c:tx>
            <c:rich>
              <a:bodyPr/>
              <a:lstStyle/>
              <a:p>
                <a:pPr>
                  <a:defRPr/>
                </a:pPr>
                <a:r>
                  <a:rPr lang="en-US"/>
                  <a:t>UAL Payment</a:t>
                </a:r>
              </a:p>
            </c:rich>
          </c:tx>
          <c:overlay val="0"/>
        </c:title>
        <c:numFmt formatCode="_(* #,##0_);_(* \(#,##0\);_(* &quot;-&quot;??_);_(@_)" sourceLinked="1"/>
        <c:majorTickMark val="none"/>
        <c:minorTickMark val="none"/>
        <c:tickLblPos val="nextTo"/>
        <c:crossAx val="126780160"/>
        <c:crosses val="autoZero"/>
        <c:crossBetween val="between"/>
      </c:valAx>
      <c:spPr>
        <a:ln>
          <a:no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Payment  Difference</a:t>
            </a:r>
          </a:p>
        </c:rich>
      </c:tx>
      <c:overlay val="0"/>
    </c:title>
    <c:autoTitleDeleted val="0"/>
    <c:plotArea>
      <c:layout/>
      <c:lineChart>
        <c:grouping val="standard"/>
        <c:varyColors val="0"/>
        <c:ser>
          <c:idx val="0"/>
          <c:order val="0"/>
          <c:marker>
            <c:symbol val="none"/>
          </c:marker>
          <c:val>
            <c:numRef>
              <c:f>Total!$E$7:$E$36</c:f>
              <c:numCache>
                <c:formatCode>_("$"* #,##0_);_("$"* \(#,##0\);_("$"* "-"_);_(@_)</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-23232329.902612362</c:v>
                </c:pt>
                <c:pt idx="20">
                  <c:v>-23160173.871736262</c:v>
                </c:pt>
                <c:pt idx="21">
                  <c:v>-22867798.666718423</c:v>
                </c:pt>
                <c:pt idx="22">
                  <c:v>-23136193.370326173</c:v>
                </c:pt>
                <c:pt idx="23">
                  <c:v>-23400110.737350352</c:v>
                </c:pt>
                <c:pt idx="24">
                  <c:v>-7923580.9941672236</c:v>
                </c:pt>
                <c:pt idx="25">
                  <c:v>-8963023.5683119725</c:v>
                </c:pt>
                <c:pt idx="26">
                  <c:v>-8418798.4975870829</c:v>
                </c:pt>
                <c:pt idx="27">
                  <c:v>-7252021.9392389338</c:v>
                </c:pt>
                <c:pt idx="28">
                  <c:v>-6007661.8687420683</c:v>
                </c:pt>
                <c:pt idx="29">
                  <c:v>-3025403.1047870666</c:v>
                </c:pt>
              </c:numCache>
            </c:numRef>
          </c:val>
          <c:smooth val="0"/>
          <c:extLst>
            <c:ext xmlns:c16="http://schemas.microsoft.com/office/drawing/2014/chart" uri="{C3380CC4-5D6E-409C-BE32-E72D297353CC}">
              <c16:uniqueId val="{00000000-E89C-4A6D-8753-A9705A31D020}"/>
            </c:ext>
          </c:extLst>
        </c:ser>
        <c:dLbls>
          <c:showLegendKey val="0"/>
          <c:showVal val="0"/>
          <c:showCatName val="0"/>
          <c:showSerName val="0"/>
          <c:showPercent val="0"/>
          <c:showBubbleSize val="0"/>
        </c:dLbls>
        <c:smooth val="0"/>
        <c:axId val="126806656"/>
        <c:axId val="126808448"/>
      </c:lineChart>
      <c:catAx>
        <c:axId val="126806656"/>
        <c:scaling>
          <c:orientation val="minMax"/>
        </c:scaling>
        <c:delete val="0"/>
        <c:axPos val="b"/>
        <c:majorTickMark val="none"/>
        <c:minorTickMark val="none"/>
        <c:tickLblPos val="nextTo"/>
        <c:crossAx val="126808448"/>
        <c:crosses val="autoZero"/>
        <c:auto val="1"/>
        <c:lblAlgn val="ctr"/>
        <c:lblOffset val="100"/>
        <c:noMultiLvlLbl val="0"/>
      </c:catAx>
      <c:valAx>
        <c:axId val="126808448"/>
        <c:scaling>
          <c:orientation val="minMax"/>
        </c:scaling>
        <c:delete val="0"/>
        <c:axPos val="l"/>
        <c:majorGridlines/>
        <c:title>
          <c:tx>
            <c:rich>
              <a:bodyPr/>
              <a:lstStyle/>
              <a:p>
                <a:pPr>
                  <a:defRPr/>
                </a:pPr>
                <a:r>
                  <a:rPr lang="en-US"/>
                  <a:t>Payment Difference</a:t>
                </a:r>
              </a:p>
            </c:rich>
          </c:tx>
          <c:overlay val="0"/>
        </c:title>
        <c:numFmt formatCode="_(&quot;$&quot;* #,##0_);_(&quot;$&quot;* \(#,##0\);_(&quot;$&quot;* &quot;-&quot;_);_(@_)" sourceLinked="1"/>
        <c:majorTickMark val="none"/>
        <c:minorTickMark val="none"/>
        <c:tickLblPos val="nextTo"/>
        <c:crossAx val="126806656"/>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Level Payment Amortization</a:t>
            </a:r>
          </a:p>
        </c:rich>
      </c:tx>
      <c:layout/>
      <c:overlay val="0"/>
    </c:title>
    <c:autoTitleDeleted val="0"/>
    <c:plotArea>
      <c:layout/>
      <c:lineChart>
        <c:grouping val="standard"/>
        <c:varyColors val="0"/>
        <c:ser>
          <c:idx val="1"/>
          <c:order val="1"/>
          <c:marker>
            <c:symbol val="none"/>
          </c:marker>
          <c:cat>
            <c:numRef>
              <c:f>'[1]Amort Schedule Efficiency'!$C$15:$C$44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'[1]Amort Schedule Efficiency'!$AR$15:$AR$44</c:f>
              <c:numCache>
                <c:formatCode>General</c:formatCode>
                <c:ptCount val="30"/>
                <c:pt idx="0">
                  <c:v>500000</c:v>
                </c:pt>
                <c:pt idx="1">
                  <c:v>500000</c:v>
                </c:pt>
                <c:pt idx="2">
                  <c:v>500000</c:v>
                </c:pt>
                <c:pt idx="3">
                  <c:v>500000</c:v>
                </c:pt>
                <c:pt idx="4">
                  <c:v>500000</c:v>
                </c:pt>
                <c:pt idx="5">
                  <c:v>500000</c:v>
                </c:pt>
                <c:pt idx="6">
                  <c:v>500000</c:v>
                </c:pt>
                <c:pt idx="7">
                  <c:v>500000</c:v>
                </c:pt>
                <c:pt idx="8">
                  <c:v>500000</c:v>
                </c:pt>
                <c:pt idx="9">
                  <c:v>500000</c:v>
                </c:pt>
                <c:pt idx="10">
                  <c:v>500000</c:v>
                </c:pt>
                <c:pt idx="11">
                  <c:v>500000</c:v>
                </c:pt>
                <c:pt idx="12">
                  <c:v>500000</c:v>
                </c:pt>
                <c:pt idx="13">
                  <c:v>500000</c:v>
                </c:pt>
                <c:pt idx="14">
                  <c:v>500000</c:v>
                </c:pt>
                <c:pt idx="15">
                  <c:v>500000</c:v>
                </c:pt>
                <c:pt idx="16">
                  <c:v>500000</c:v>
                </c:pt>
                <c:pt idx="17">
                  <c:v>500000</c:v>
                </c:pt>
                <c:pt idx="18">
                  <c:v>500000</c:v>
                </c:pt>
                <c:pt idx="19">
                  <c:v>500000</c:v>
                </c:pt>
                <c:pt idx="20">
                  <c:v>500000</c:v>
                </c:pt>
                <c:pt idx="21">
                  <c:v>500000</c:v>
                </c:pt>
                <c:pt idx="22">
                  <c:v>500000</c:v>
                </c:pt>
                <c:pt idx="23">
                  <c:v>500000</c:v>
                </c:pt>
                <c:pt idx="24">
                  <c:v>500000</c:v>
                </c:pt>
                <c:pt idx="25">
                  <c:v>500000</c:v>
                </c:pt>
                <c:pt idx="26">
                  <c:v>500000</c:v>
                </c:pt>
                <c:pt idx="27">
                  <c:v>500000</c:v>
                </c:pt>
                <c:pt idx="28">
                  <c:v>500000</c:v>
                </c:pt>
                <c:pt idx="29">
                  <c:v>500000</c:v>
                </c:pt>
              </c:numCache>
            </c:numRef>
          </c:val>
          <c:smooth val="0"/>
          <c:extLst>
            <c:ext xmlns:c16="http://schemas.microsoft.com/office/drawing/2014/chart" uri="{C3380CC4-5D6E-409C-BE32-E72D297353CC}">
              <c16:uniqueId val="{00000000-D9FD-45FE-B896-8F2160D49F1E}"/>
            </c:ext>
          </c:extLst>
        </c:ser>
        <c:ser>
          <c:idx val="2"/>
          <c:order val="2"/>
          <c:marker>
            <c:symbol val="none"/>
          </c:marker>
          <c:cat>
            <c:numRef>
              <c:f>'[1]Amort Schedule Efficiency'!$C$15:$C$44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'[1]Amort Schedule Efficiency'!$AR$15:$AR$44</c:f>
              <c:numCache>
                <c:formatCode>General</c:formatCode>
                <c:ptCount val="30"/>
                <c:pt idx="0">
                  <c:v>500000</c:v>
                </c:pt>
                <c:pt idx="1">
                  <c:v>500000</c:v>
                </c:pt>
                <c:pt idx="2">
                  <c:v>500000</c:v>
                </c:pt>
                <c:pt idx="3">
                  <c:v>500000</c:v>
                </c:pt>
                <c:pt idx="4">
                  <c:v>500000</c:v>
                </c:pt>
                <c:pt idx="5">
                  <c:v>500000</c:v>
                </c:pt>
                <c:pt idx="6">
                  <c:v>500000</c:v>
                </c:pt>
                <c:pt idx="7">
                  <c:v>500000</c:v>
                </c:pt>
                <c:pt idx="8">
                  <c:v>500000</c:v>
                </c:pt>
                <c:pt idx="9">
                  <c:v>500000</c:v>
                </c:pt>
                <c:pt idx="10">
                  <c:v>500000</c:v>
                </c:pt>
                <c:pt idx="11">
                  <c:v>500000</c:v>
                </c:pt>
                <c:pt idx="12">
                  <c:v>500000</c:v>
                </c:pt>
                <c:pt idx="13">
                  <c:v>500000</c:v>
                </c:pt>
                <c:pt idx="14">
                  <c:v>500000</c:v>
                </c:pt>
                <c:pt idx="15">
                  <c:v>500000</c:v>
                </c:pt>
                <c:pt idx="16">
                  <c:v>500000</c:v>
                </c:pt>
                <c:pt idx="17">
                  <c:v>500000</c:v>
                </c:pt>
                <c:pt idx="18">
                  <c:v>500000</c:v>
                </c:pt>
                <c:pt idx="19">
                  <c:v>500000</c:v>
                </c:pt>
                <c:pt idx="20">
                  <c:v>500000</c:v>
                </c:pt>
                <c:pt idx="21">
                  <c:v>500000</c:v>
                </c:pt>
                <c:pt idx="22">
                  <c:v>500000</c:v>
                </c:pt>
                <c:pt idx="23">
                  <c:v>500000</c:v>
                </c:pt>
                <c:pt idx="24">
                  <c:v>500000</c:v>
                </c:pt>
                <c:pt idx="25">
                  <c:v>500000</c:v>
                </c:pt>
                <c:pt idx="26">
                  <c:v>500000</c:v>
                </c:pt>
                <c:pt idx="27">
                  <c:v>500000</c:v>
                </c:pt>
                <c:pt idx="28">
                  <c:v>500000</c:v>
                </c:pt>
                <c:pt idx="29">
                  <c:v>500000</c:v>
                </c:pt>
              </c:numCache>
            </c:numRef>
          </c:val>
          <c:smooth val="0"/>
          <c:extLst>
            <c:ext xmlns:c16="http://schemas.microsoft.com/office/drawing/2014/chart" uri="{C3380CC4-5D6E-409C-BE32-E72D297353CC}">
              <c16:uniqueId val="{00000001-D9FD-45FE-B896-8F2160D49F1E}"/>
            </c:ext>
          </c:extLst>
        </c:ser>
        <c:ser>
          <c:idx val="3"/>
          <c:order val="3"/>
          <c:marker>
            <c:symbol val="none"/>
          </c:marker>
          <c:cat>
            <c:numRef>
              <c:f>'[1]Amort Schedule Efficiency'!$C$15:$C$44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'[1]Amort Schedule Efficiency'!$AR$15:$AR$44</c:f>
              <c:numCache>
                <c:formatCode>General</c:formatCode>
                <c:ptCount val="30"/>
                <c:pt idx="0">
                  <c:v>500000</c:v>
                </c:pt>
                <c:pt idx="1">
                  <c:v>500000</c:v>
                </c:pt>
                <c:pt idx="2">
                  <c:v>500000</c:v>
                </c:pt>
                <c:pt idx="3">
                  <c:v>500000</c:v>
                </c:pt>
                <c:pt idx="4">
                  <c:v>500000</c:v>
                </c:pt>
                <c:pt idx="5">
                  <c:v>500000</c:v>
                </c:pt>
                <c:pt idx="6">
                  <c:v>500000</c:v>
                </c:pt>
                <c:pt idx="7">
                  <c:v>500000</c:v>
                </c:pt>
                <c:pt idx="8">
                  <c:v>500000</c:v>
                </c:pt>
                <c:pt idx="9">
                  <c:v>500000</c:v>
                </c:pt>
                <c:pt idx="10">
                  <c:v>500000</c:v>
                </c:pt>
                <c:pt idx="11">
                  <c:v>500000</c:v>
                </c:pt>
                <c:pt idx="12">
                  <c:v>500000</c:v>
                </c:pt>
                <c:pt idx="13">
                  <c:v>500000</c:v>
                </c:pt>
                <c:pt idx="14">
                  <c:v>500000</c:v>
                </c:pt>
                <c:pt idx="15">
                  <c:v>500000</c:v>
                </c:pt>
                <c:pt idx="16">
                  <c:v>500000</c:v>
                </c:pt>
                <c:pt idx="17">
                  <c:v>500000</c:v>
                </c:pt>
                <c:pt idx="18">
                  <c:v>500000</c:v>
                </c:pt>
                <c:pt idx="19">
                  <c:v>500000</c:v>
                </c:pt>
                <c:pt idx="20">
                  <c:v>500000</c:v>
                </c:pt>
                <c:pt idx="21">
                  <c:v>500000</c:v>
                </c:pt>
                <c:pt idx="22">
                  <c:v>500000</c:v>
                </c:pt>
                <c:pt idx="23">
                  <c:v>500000</c:v>
                </c:pt>
                <c:pt idx="24">
                  <c:v>500000</c:v>
                </c:pt>
                <c:pt idx="25">
                  <c:v>500000</c:v>
                </c:pt>
                <c:pt idx="26">
                  <c:v>500000</c:v>
                </c:pt>
                <c:pt idx="27">
                  <c:v>500000</c:v>
                </c:pt>
                <c:pt idx="28">
                  <c:v>500000</c:v>
                </c:pt>
                <c:pt idx="29">
                  <c:v>500000</c:v>
                </c:pt>
              </c:numCache>
            </c:numRef>
          </c:val>
          <c:smooth val="0"/>
          <c:extLst>
            <c:ext xmlns:c16="http://schemas.microsoft.com/office/drawing/2014/chart" uri="{C3380CC4-5D6E-409C-BE32-E72D297353CC}">
              <c16:uniqueId val="{00000002-D9FD-45FE-B896-8F2160D49F1E}"/>
            </c:ext>
          </c:extLst>
        </c:ser>
        <c:ser>
          <c:idx val="0"/>
          <c:order val="0"/>
          <c:marker>
            <c:symbol val="none"/>
          </c:marker>
          <c:cat>
            <c:numRef>
              <c:f>'[1]Amort Schedule Efficiency'!$C$15:$C$44</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'[1]Amort Schedule Efficiency'!$AR$15:$AR$44</c:f>
              <c:numCache>
                <c:formatCode>General</c:formatCode>
                <c:ptCount val="30"/>
                <c:pt idx="0">
                  <c:v>500000</c:v>
                </c:pt>
                <c:pt idx="1">
                  <c:v>500000</c:v>
                </c:pt>
                <c:pt idx="2">
                  <c:v>500000</c:v>
                </c:pt>
                <c:pt idx="3">
                  <c:v>500000</c:v>
                </c:pt>
                <c:pt idx="4">
                  <c:v>500000</c:v>
                </c:pt>
                <c:pt idx="5">
                  <c:v>500000</c:v>
                </c:pt>
                <c:pt idx="6">
                  <c:v>500000</c:v>
                </c:pt>
                <c:pt idx="7">
                  <c:v>500000</c:v>
                </c:pt>
                <c:pt idx="8">
                  <c:v>500000</c:v>
                </c:pt>
                <c:pt idx="9">
                  <c:v>500000</c:v>
                </c:pt>
                <c:pt idx="10">
                  <c:v>500000</c:v>
                </c:pt>
                <c:pt idx="11">
                  <c:v>500000</c:v>
                </c:pt>
                <c:pt idx="12">
                  <c:v>500000</c:v>
                </c:pt>
                <c:pt idx="13">
                  <c:v>500000</c:v>
                </c:pt>
                <c:pt idx="14">
                  <c:v>500000</c:v>
                </c:pt>
                <c:pt idx="15">
                  <c:v>500000</c:v>
                </c:pt>
                <c:pt idx="16">
                  <c:v>500000</c:v>
                </c:pt>
                <c:pt idx="17">
                  <c:v>500000</c:v>
                </c:pt>
                <c:pt idx="18">
                  <c:v>500000</c:v>
                </c:pt>
                <c:pt idx="19">
                  <c:v>500000</c:v>
                </c:pt>
                <c:pt idx="20">
                  <c:v>500000</c:v>
                </c:pt>
                <c:pt idx="21">
                  <c:v>500000</c:v>
                </c:pt>
                <c:pt idx="22">
                  <c:v>500000</c:v>
                </c:pt>
                <c:pt idx="23">
                  <c:v>500000</c:v>
                </c:pt>
                <c:pt idx="24">
                  <c:v>500000</c:v>
                </c:pt>
                <c:pt idx="25">
                  <c:v>500000</c:v>
                </c:pt>
                <c:pt idx="26">
                  <c:v>500000</c:v>
                </c:pt>
                <c:pt idx="27">
                  <c:v>500000</c:v>
                </c:pt>
                <c:pt idx="28">
                  <c:v>500000</c:v>
                </c:pt>
                <c:pt idx="29">
                  <c:v>500000</c:v>
                </c:pt>
              </c:numCache>
            </c:numRef>
          </c:val>
          <c:smooth val="0"/>
          <c:extLst>
            <c:ext xmlns:c16="http://schemas.microsoft.com/office/drawing/2014/chart" uri="{C3380CC4-5D6E-409C-BE32-E72D297353CC}">
              <c16:uniqueId val="{00000003-D9FD-45FE-B896-8F2160D49F1E}"/>
            </c:ext>
          </c:extLst>
        </c:ser>
        <c:dLbls>
          <c:showLegendKey val="0"/>
          <c:showVal val="0"/>
          <c:showCatName val="0"/>
          <c:showSerName val="0"/>
          <c:showPercent val="0"/>
          <c:showBubbleSize val="0"/>
        </c:dLbls>
        <c:smooth val="0"/>
        <c:axId val="127573376"/>
        <c:axId val="127579264"/>
      </c:lineChart>
      <c:catAx>
        <c:axId val="127573376"/>
        <c:scaling>
          <c:orientation val="minMax"/>
        </c:scaling>
        <c:delete val="0"/>
        <c:axPos val="b"/>
        <c:numFmt formatCode="General" sourceLinked="1"/>
        <c:majorTickMark val="none"/>
        <c:minorTickMark val="none"/>
        <c:tickLblPos val="nextTo"/>
        <c:txPr>
          <a:bodyPr rot="0" vert="horz"/>
          <a:lstStyle/>
          <a:p>
            <a:pPr>
              <a:defRPr/>
            </a:pPr>
            <a:endParaRPr lang="en-US"/>
          </a:p>
        </c:txPr>
        <c:crossAx val="127579264"/>
        <c:crosses val="autoZero"/>
        <c:auto val="1"/>
        <c:lblAlgn val="ctr"/>
        <c:lblOffset val="100"/>
        <c:noMultiLvlLbl val="0"/>
      </c:catAx>
      <c:valAx>
        <c:axId val="127579264"/>
        <c:scaling>
          <c:orientation val="minMax"/>
        </c:scaling>
        <c:delete val="0"/>
        <c:axPos val="l"/>
        <c:majorGridlines/>
        <c:numFmt formatCode="General" sourceLinked="1"/>
        <c:majorTickMark val="none"/>
        <c:minorTickMark val="none"/>
        <c:tickLblPos val="nextTo"/>
        <c:crossAx val="127573376"/>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1" Type="http://schemas.openxmlformats.org/officeDocument/2006/relationships/image" Target="../media/image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5.png"/></Relationships>
</file>

<file path=xl/drawings/_rels/drawing28.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10</xdr:col>
      <xdr:colOff>202406</xdr:colOff>
      <xdr:row>6</xdr:row>
      <xdr:rowOff>142875</xdr:rowOff>
    </xdr:from>
    <xdr:to>
      <xdr:col>21</xdr:col>
      <xdr:colOff>76201</xdr:colOff>
      <xdr:row>30</xdr:row>
      <xdr:rowOff>42864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32</xdr:row>
      <xdr:rowOff>123825</xdr:rowOff>
    </xdr:from>
    <xdr:to>
      <xdr:col>11</xdr:col>
      <xdr:colOff>309564</xdr:colOff>
      <xdr:row>56</xdr:row>
      <xdr:rowOff>100013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490538</xdr:colOff>
      <xdr:row>35</xdr:row>
      <xdr:rowOff>71437</xdr:rowOff>
    </xdr:from>
    <xdr:to>
      <xdr:col>20</xdr:col>
      <xdr:colOff>600076</xdr:colOff>
      <xdr:row>55</xdr:row>
      <xdr:rowOff>123825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90485</xdr:colOff>
      <xdr:row>7</xdr:row>
      <xdr:rowOff>30956</xdr:rowOff>
    </xdr:from>
    <xdr:to>
      <xdr:col>29</xdr:col>
      <xdr:colOff>88104</xdr:colOff>
      <xdr:row>30</xdr:row>
      <xdr:rowOff>183356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202407</xdr:colOff>
      <xdr:row>9</xdr:row>
      <xdr:rowOff>45244</xdr:rowOff>
    </xdr:from>
    <xdr:to>
      <xdr:col>9</xdr:col>
      <xdr:colOff>492919</xdr:colOff>
      <xdr:row>29</xdr:row>
      <xdr:rowOff>102394</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452439</xdr:colOff>
      <xdr:row>53</xdr:row>
      <xdr:rowOff>154781</xdr:rowOff>
    </xdr:from>
    <xdr:to>
      <xdr:col>29</xdr:col>
      <xdr:colOff>190501</xdr:colOff>
      <xdr:row>55</xdr:row>
      <xdr:rowOff>23813</xdr:rowOff>
    </xdr:to>
    <xdr:sp macro="" textlink="">
      <xdr:nvSpPr>
        <xdr:cNvPr id="7" name="TextBox 1"/>
        <xdr:cNvSpPr txBox="1"/>
      </xdr:nvSpPr>
      <xdr:spPr>
        <a:xfrm>
          <a:off x="18680908" y="10691812"/>
          <a:ext cx="440531" cy="250032"/>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b="1"/>
            <a:t>#6</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0.325</cdr:x>
      <cdr:y>0.38519</cdr:y>
    </cdr:from>
    <cdr:to>
      <cdr:x>0.75208</cdr:x>
      <cdr:y>0.63525</cdr:y>
    </cdr:to>
    <cdr:sp macro="" textlink="">
      <cdr:nvSpPr>
        <cdr:cNvPr id="3" name="TextBox 2"/>
        <cdr:cNvSpPr txBox="1"/>
      </cdr:nvSpPr>
      <cdr:spPr>
        <a:xfrm xmlns:a="http://schemas.openxmlformats.org/drawingml/2006/main">
          <a:off x="1485900" y="742951"/>
          <a:ext cx="1952610" cy="4823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11.xml><?xml version="1.0" encoding="utf-8"?>
<c:userShapes xmlns:c="http://schemas.openxmlformats.org/drawingml/2006/chart">
  <cdr:relSizeAnchor xmlns:cdr="http://schemas.openxmlformats.org/drawingml/2006/chartDrawing">
    <cdr:from>
      <cdr:x>0.40069</cdr:x>
      <cdr:y>0.47338</cdr:y>
    </cdr:from>
    <cdr:to>
      <cdr:x>0.79006</cdr:x>
      <cdr:y>0.58228</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rot="20620092">
          <a:off x="1831975" y="1298575"/>
          <a:ext cx="1780186" cy="298730"/>
        </a:xfrm>
        <a:prstGeom xmlns:a="http://schemas.openxmlformats.org/drawingml/2006/main" prst="rect">
          <a:avLst/>
        </a:prstGeom>
      </cdr:spPr>
    </cdr:pic>
  </cdr:relSizeAnchor>
</c:userShapes>
</file>

<file path=xl/drawings/drawing12.xml><?xml version="1.0" encoding="utf-8"?>
<c:userShapes xmlns:c="http://schemas.openxmlformats.org/drawingml/2006/chart">
  <cdr:relSizeAnchor xmlns:cdr="http://schemas.openxmlformats.org/drawingml/2006/chartDrawing">
    <cdr:from>
      <cdr:x>0.14757</cdr:x>
      <cdr:y>0.03318</cdr:y>
    </cdr:from>
    <cdr:to>
      <cdr:x>0.92998</cdr:x>
      <cdr:y>0.13735</cdr:y>
    </cdr:to>
    <cdr:sp macro="" textlink="">
      <cdr:nvSpPr>
        <cdr:cNvPr id="2" name="TextBox 1"/>
        <cdr:cNvSpPr txBox="1"/>
      </cdr:nvSpPr>
      <cdr:spPr>
        <a:xfrm xmlns:a="http://schemas.openxmlformats.org/drawingml/2006/main">
          <a:off x="674686" y="91017"/>
          <a:ext cx="3577167"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b="1"/>
            <a:t>Level</a:t>
          </a:r>
          <a:r>
            <a:rPr lang="en-US" sz="1800" b="1" baseline="0"/>
            <a:t> % of Pay with 5 Yr Ramps </a:t>
          </a:r>
          <a:endParaRPr lang="en-US" sz="1800" b="1"/>
        </a:p>
      </cdr:txBody>
    </cdr:sp>
  </cdr:relSizeAnchor>
</c:userShapes>
</file>

<file path=xl/drawings/drawing13.xml><?xml version="1.0" encoding="utf-8"?>
<xdr:wsDr xmlns:xdr="http://schemas.openxmlformats.org/drawingml/2006/spreadsheetDrawing" xmlns:a="http://schemas.openxmlformats.org/drawingml/2006/main">
  <xdr:twoCellAnchor>
    <xdr:from>
      <xdr:col>15</xdr:col>
      <xdr:colOff>509587</xdr:colOff>
      <xdr:row>10</xdr:row>
      <xdr:rowOff>19050</xdr:rowOff>
    </xdr:from>
    <xdr:to>
      <xdr:col>22</xdr:col>
      <xdr:colOff>604837</xdr:colOff>
      <xdr:row>24</xdr:row>
      <xdr:rowOff>85725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178593</xdr:colOff>
      <xdr:row>49</xdr:row>
      <xdr:rowOff>109538</xdr:rowOff>
    </xdr:from>
    <xdr:to>
      <xdr:col>23</xdr:col>
      <xdr:colOff>342900</xdr:colOff>
      <xdr:row>70</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273843</xdr:colOff>
      <xdr:row>48</xdr:row>
      <xdr:rowOff>166688</xdr:rowOff>
    </xdr:from>
    <xdr:to>
      <xdr:col>17</xdr:col>
      <xdr:colOff>28575</xdr:colOff>
      <xdr:row>69</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140493</xdr:colOff>
      <xdr:row>47</xdr:row>
      <xdr:rowOff>176213</xdr:rowOff>
    </xdr:from>
    <xdr:to>
      <xdr:col>19</xdr:col>
      <xdr:colOff>38100</xdr:colOff>
      <xdr:row>68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150018</xdr:colOff>
      <xdr:row>55</xdr:row>
      <xdr:rowOff>157163</xdr:rowOff>
    </xdr:from>
    <xdr:to>
      <xdr:col>12</xdr:col>
      <xdr:colOff>392905</xdr:colOff>
      <xdr:row>71</xdr:row>
      <xdr:rowOff>4763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626266</xdr:colOff>
      <xdr:row>10</xdr:row>
      <xdr:rowOff>52388</xdr:rowOff>
    </xdr:from>
    <xdr:to>
      <xdr:col>38</xdr:col>
      <xdr:colOff>371475</xdr:colOff>
      <xdr:row>32</xdr:row>
      <xdr:rowOff>138113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42</xdr:row>
      <xdr:rowOff>176893</xdr:rowOff>
    </xdr:from>
    <xdr:to>
      <xdr:col>8</xdr:col>
      <xdr:colOff>1104900</xdr:colOff>
      <xdr:row>81</xdr:row>
      <xdr:rowOff>62593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80179</xdr:colOff>
      <xdr:row>42</xdr:row>
      <xdr:rowOff>176893</xdr:rowOff>
    </xdr:from>
    <xdr:to>
      <xdr:col>21</xdr:col>
      <xdr:colOff>109314</xdr:colOff>
      <xdr:row>81</xdr:row>
      <xdr:rowOff>62593</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33</xdr:col>
      <xdr:colOff>65859</xdr:colOff>
      <xdr:row>48</xdr:row>
      <xdr:rowOff>126274</xdr:rowOff>
    </xdr:from>
    <xdr:to>
      <xdr:col>45</xdr:col>
      <xdr:colOff>254726</xdr:colOff>
      <xdr:row>76</xdr:row>
      <xdr:rowOff>27214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113796</xdr:colOff>
      <xdr:row>82</xdr:row>
      <xdr:rowOff>145675</xdr:rowOff>
    </xdr:from>
    <xdr:to>
      <xdr:col>9</xdr:col>
      <xdr:colOff>123265</xdr:colOff>
      <xdr:row>118</xdr:row>
      <xdr:rowOff>132228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33617</xdr:colOff>
      <xdr:row>115</xdr:row>
      <xdr:rowOff>179294</xdr:rowOff>
    </xdr:from>
    <xdr:to>
      <xdr:col>21</xdr:col>
      <xdr:colOff>104725</xdr:colOff>
      <xdr:row>118</xdr:row>
      <xdr:rowOff>16787</xdr:rowOff>
    </xdr:to>
    <xdr:sp macro="" textlink="">
      <xdr:nvSpPr>
        <xdr:cNvPr id="8" name="TextBox 1"/>
        <xdr:cNvSpPr txBox="1"/>
      </xdr:nvSpPr>
      <xdr:spPr>
        <a:xfrm>
          <a:off x="19655117" y="22960853"/>
          <a:ext cx="676226" cy="40899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b="1"/>
            <a:t>#3</a:t>
          </a:r>
        </a:p>
      </xdr:txBody>
    </xdr:sp>
    <xdr:clientData/>
  </xdr:twoCellAnchor>
  <xdr:twoCellAnchor>
    <xdr:from>
      <xdr:col>0</xdr:col>
      <xdr:colOff>627530</xdr:colOff>
      <xdr:row>54</xdr:row>
      <xdr:rowOff>22412</xdr:rowOff>
    </xdr:from>
    <xdr:to>
      <xdr:col>3</xdr:col>
      <xdr:colOff>168088</xdr:colOff>
      <xdr:row>64</xdr:row>
      <xdr:rowOff>100853</xdr:rowOff>
    </xdr:to>
    <xdr:sp macro="" textlink="">
      <xdr:nvSpPr>
        <xdr:cNvPr id="5" name="Flowchart: Connector 4"/>
        <xdr:cNvSpPr/>
      </xdr:nvSpPr>
      <xdr:spPr>
        <a:xfrm>
          <a:off x="627530" y="11138647"/>
          <a:ext cx="1961029" cy="1983441"/>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0.92478</cdr:x>
      <cdr:y>0.93184</cdr:y>
    </cdr:from>
    <cdr:to>
      <cdr:x>0.99201</cdr:x>
      <cdr:y>0.98775</cdr:y>
    </cdr:to>
    <cdr:sp macro="" textlink="">
      <cdr:nvSpPr>
        <cdr:cNvPr id="2" name="TextBox 1"/>
        <cdr:cNvSpPr txBox="1"/>
      </cdr:nvSpPr>
      <cdr:spPr>
        <a:xfrm xmlns:a="http://schemas.openxmlformats.org/drawingml/2006/main">
          <a:off x="6060282" y="4167187"/>
          <a:ext cx="440531" cy="250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#1</a:t>
          </a:r>
        </a:p>
      </cdr:txBody>
    </cdr:sp>
  </cdr:relSizeAnchor>
</c:userShapes>
</file>

<file path=xl/drawings/drawing2.xml><?xml version="1.0" encoding="utf-8"?>
<c:userShapes xmlns:c="http://schemas.openxmlformats.org/drawingml/2006/chart">
  <cdr:relSizeAnchor xmlns:cdr="http://schemas.openxmlformats.org/drawingml/2006/chartDrawing">
    <cdr:from>
      <cdr:x>0.92478</cdr:x>
      <cdr:y>0.93184</cdr:y>
    </cdr:from>
    <cdr:to>
      <cdr:x>0.99201</cdr:x>
      <cdr:y>0.98775</cdr:y>
    </cdr:to>
    <cdr:sp macro="" textlink="">
      <cdr:nvSpPr>
        <cdr:cNvPr id="2" name="TextBox 1"/>
        <cdr:cNvSpPr txBox="1"/>
      </cdr:nvSpPr>
      <cdr:spPr>
        <a:xfrm xmlns:a="http://schemas.openxmlformats.org/drawingml/2006/main">
          <a:off x="6060282" y="4167187"/>
          <a:ext cx="440531" cy="250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#2</a:t>
          </a:r>
        </a:p>
      </cdr:txBody>
    </cdr:sp>
  </cdr:relSizeAnchor>
</c:userShapes>
</file>

<file path=xl/drawings/drawing20.xml><?xml version="1.0" encoding="utf-8"?>
<c:userShapes xmlns:c="http://schemas.openxmlformats.org/drawingml/2006/chart">
  <cdr:relSizeAnchor xmlns:cdr="http://schemas.openxmlformats.org/drawingml/2006/chartDrawing">
    <cdr:from>
      <cdr:x>0.92478</cdr:x>
      <cdr:y>0.93184</cdr:y>
    </cdr:from>
    <cdr:to>
      <cdr:x>0.99201</cdr:x>
      <cdr:y>0.98775</cdr:y>
    </cdr:to>
    <cdr:sp macro="" textlink="">
      <cdr:nvSpPr>
        <cdr:cNvPr id="2" name="TextBox 1"/>
        <cdr:cNvSpPr txBox="1"/>
      </cdr:nvSpPr>
      <cdr:spPr>
        <a:xfrm xmlns:a="http://schemas.openxmlformats.org/drawingml/2006/main">
          <a:off x="6060282" y="4167187"/>
          <a:ext cx="440531" cy="250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#2</a:t>
          </a:r>
        </a:p>
      </cdr:txBody>
    </cdr:sp>
  </cdr:relSizeAnchor>
</c:userShapes>
</file>

<file path=xl/drawings/drawing21.xml><?xml version="1.0" encoding="utf-8"?>
<c:userShapes xmlns:c="http://schemas.openxmlformats.org/drawingml/2006/chart">
  <cdr:relSizeAnchor xmlns:cdr="http://schemas.openxmlformats.org/drawingml/2006/chartDrawing">
    <cdr:from>
      <cdr:x>0.92478</cdr:x>
      <cdr:y>0.93184</cdr:y>
    </cdr:from>
    <cdr:to>
      <cdr:x>0.99201</cdr:x>
      <cdr:y>0.98775</cdr:y>
    </cdr:to>
    <cdr:sp macro="" textlink="">
      <cdr:nvSpPr>
        <cdr:cNvPr id="2" name="TextBox 1"/>
        <cdr:cNvSpPr txBox="1"/>
      </cdr:nvSpPr>
      <cdr:spPr>
        <a:xfrm xmlns:a="http://schemas.openxmlformats.org/drawingml/2006/main">
          <a:off x="6060282" y="4167187"/>
          <a:ext cx="440531" cy="250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#3</a:t>
          </a:r>
        </a:p>
      </cdr:txBody>
    </cdr:sp>
  </cdr:relSizeAnchor>
</c:userShapes>
</file>

<file path=xl/drawings/drawing22.xml><?xml version="1.0" encoding="utf-8"?>
<xdr:wsDr xmlns:xdr="http://schemas.openxmlformats.org/drawingml/2006/spreadsheetDrawing" xmlns:a="http://schemas.openxmlformats.org/drawingml/2006/main">
  <xdr:twoCellAnchor editAs="oneCell">
    <xdr:from>
      <xdr:col>0</xdr:col>
      <xdr:colOff>0</xdr:colOff>
      <xdr:row>12</xdr:row>
      <xdr:rowOff>57150</xdr:rowOff>
    </xdr:from>
    <xdr:to>
      <xdr:col>20</xdr:col>
      <xdr:colOff>80963</xdr:colOff>
      <xdr:row>47</xdr:row>
      <xdr:rowOff>179341</xdr:rowOff>
    </xdr:to>
    <xdr:pic>
      <xdr:nvPicPr>
        <xdr:cNvPr id="7" name="Picture 6"/>
        <xdr:cNvPicPr>
          <a:picLocks noChangeAspect="1"/>
        </xdr:cNvPicPr>
      </xdr:nvPicPr>
      <xdr:blipFill>
        <a:blip xmlns:r="http://schemas.openxmlformats.org/officeDocument/2006/relationships" r:embed="rId1"/>
        <a:stretch>
          <a:fillRect/>
        </a:stretch>
      </xdr:blipFill>
      <xdr:spPr>
        <a:xfrm>
          <a:off x="0" y="2428875"/>
          <a:ext cx="13034963" cy="6456316"/>
        </a:xfrm>
        <a:prstGeom prst="rect">
          <a:avLst/>
        </a:prstGeom>
      </xdr:spPr>
    </xdr:pic>
    <xdr:clientData/>
  </xdr:twoCellAnchor>
  <xdr:twoCellAnchor>
    <xdr:from>
      <xdr:col>7</xdr:col>
      <xdr:colOff>390525</xdr:colOff>
      <xdr:row>36</xdr:row>
      <xdr:rowOff>152400</xdr:rowOff>
    </xdr:from>
    <xdr:to>
      <xdr:col>9</xdr:col>
      <xdr:colOff>376238</xdr:colOff>
      <xdr:row>46</xdr:row>
      <xdr:rowOff>142875</xdr:rowOff>
    </xdr:to>
    <xdr:sp macro="" textlink="">
      <xdr:nvSpPr>
        <xdr:cNvPr id="4" name="Rectangle 3"/>
        <xdr:cNvSpPr/>
      </xdr:nvSpPr>
      <xdr:spPr>
        <a:xfrm>
          <a:off x="4924425" y="6867525"/>
          <a:ext cx="1281113" cy="1800225"/>
        </a:xfrm>
        <a:prstGeom prst="rect">
          <a:avLst/>
        </a:prstGeom>
        <a:noFill/>
        <a:ln w="38100"/>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95250</xdr:colOff>
      <xdr:row>36</xdr:row>
      <xdr:rowOff>161925</xdr:rowOff>
    </xdr:from>
    <xdr:to>
      <xdr:col>19</xdr:col>
      <xdr:colOff>138113</xdr:colOff>
      <xdr:row>46</xdr:row>
      <xdr:rowOff>85725</xdr:rowOff>
    </xdr:to>
    <xdr:sp macro="" textlink="">
      <xdr:nvSpPr>
        <xdr:cNvPr id="6" name="Rectangle 5"/>
        <xdr:cNvSpPr/>
      </xdr:nvSpPr>
      <xdr:spPr>
        <a:xfrm>
          <a:off x="11106150" y="6877050"/>
          <a:ext cx="1338263" cy="1733550"/>
        </a:xfrm>
        <a:prstGeom prst="rect">
          <a:avLst/>
        </a:prstGeom>
        <a:noFill/>
        <a:ln w="3810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19050</xdr:colOff>
      <xdr:row>36</xdr:row>
      <xdr:rowOff>171450</xdr:rowOff>
    </xdr:from>
    <xdr:to>
      <xdr:col>17</xdr:col>
      <xdr:colOff>61913</xdr:colOff>
      <xdr:row>46</xdr:row>
      <xdr:rowOff>95250</xdr:rowOff>
    </xdr:to>
    <xdr:sp macro="" textlink="">
      <xdr:nvSpPr>
        <xdr:cNvPr id="8" name="Rectangle 7"/>
        <xdr:cNvSpPr/>
      </xdr:nvSpPr>
      <xdr:spPr>
        <a:xfrm>
          <a:off x="9734550" y="6886575"/>
          <a:ext cx="1338263" cy="1733550"/>
        </a:xfrm>
        <a:prstGeom prst="rect">
          <a:avLst/>
        </a:prstGeom>
        <a:noFill/>
        <a:ln w="3810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20</xdr:col>
      <xdr:colOff>180874</xdr:colOff>
      <xdr:row>39</xdr:row>
      <xdr:rowOff>66675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57350"/>
          <a:ext cx="13134874" cy="6581775"/>
        </a:xfrm>
        <a:prstGeom prst="rect">
          <a:avLst/>
        </a:prstGeom>
      </xdr:spPr>
    </xdr:pic>
    <xdr:clientData/>
  </xdr:twoCellAnchor>
  <xdr:twoCellAnchor>
    <xdr:from>
      <xdr:col>7</xdr:col>
      <xdr:colOff>285750</xdr:colOff>
      <xdr:row>29</xdr:row>
      <xdr:rowOff>104775</xdr:rowOff>
    </xdr:from>
    <xdr:to>
      <xdr:col>9</xdr:col>
      <xdr:colOff>476250</xdr:colOff>
      <xdr:row>39</xdr:row>
      <xdr:rowOff>0</xdr:rowOff>
    </xdr:to>
    <xdr:sp macro="" textlink="">
      <xdr:nvSpPr>
        <xdr:cNvPr id="3" name="Rectangle 2"/>
        <xdr:cNvSpPr/>
      </xdr:nvSpPr>
      <xdr:spPr>
        <a:xfrm>
          <a:off x="4819650" y="5514975"/>
          <a:ext cx="1485900" cy="1704975"/>
        </a:xfrm>
        <a:prstGeom prst="rect">
          <a:avLst/>
        </a:prstGeom>
        <a:noFill/>
        <a:ln w="38100"/>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552450</xdr:colOff>
      <xdr:row>28</xdr:row>
      <xdr:rowOff>161925</xdr:rowOff>
    </xdr:from>
    <xdr:to>
      <xdr:col>20</xdr:col>
      <xdr:colOff>95250</xdr:colOff>
      <xdr:row>38</xdr:row>
      <xdr:rowOff>85725</xdr:rowOff>
    </xdr:to>
    <xdr:sp macro="" textlink="">
      <xdr:nvSpPr>
        <xdr:cNvPr id="6" name="Rectangle 5"/>
        <xdr:cNvSpPr/>
      </xdr:nvSpPr>
      <xdr:spPr>
        <a:xfrm>
          <a:off x="11563350" y="5391150"/>
          <a:ext cx="1485900" cy="1733550"/>
        </a:xfrm>
        <a:prstGeom prst="rect">
          <a:avLst/>
        </a:prstGeom>
        <a:noFill/>
        <a:ln w="3810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547688</xdr:colOff>
      <xdr:row>28</xdr:row>
      <xdr:rowOff>161924</xdr:rowOff>
    </xdr:from>
    <xdr:to>
      <xdr:col>17</xdr:col>
      <xdr:colOff>509588</xdr:colOff>
      <xdr:row>38</xdr:row>
      <xdr:rowOff>133349</xdr:rowOff>
    </xdr:to>
    <xdr:sp macro="" textlink="">
      <xdr:nvSpPr>
        <xdr:cNvPr id="9" name="Rectangle 8"/>
        <xdr:cNvSpPr/>
      </xdr:nvSpPr>
      <xdr:spPr>
        <a:xfrm>
          <a:off x="10263188" y="5391149"/>
          <a:ext cx="1257300" cy="1781175"/>
        </a:xfrm>
        <a:prstGeom prst="rect">
          <a:avLst/>
        </a:prstGeom>
        <a:noFill/>
        <a:ln w="3810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20</xdr:col>
      <xdr:colOff>95250</xdr:colOff>
      <xdr:row>16</xdr:row>
      <xdr:rowOff>90487</xdr:rowOff>
    </xdr:from>
    <xdr:to>
      <xdr:col>27</xdr:col>
      <xdr:colOff>314325</xdr:colOff>
      <xdr:row>31</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66675</xdr:colOff>
      <xdr:row>33</xdr:row>
      <xdr:rowOff>23812</xdr:rowOff>
    </xdr:from>
    <xdr:to>
      <xdr:col>27</xdr:col>
      <xdr:colOff>314325</xdr:colOff>
      <xdr:row>47</xdr:row>
      <xdr:rowOff>90487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314325</xdr:colOff>
      <xdr:row>1</xdr:row>
      <xdr:rowOff>123825</xdr:rowOff>
    </xdr:from>
    <xdr:to>
      <xdr:col>18</xdr:col>
      <xdr:colOff>466725</xdr:colOff>
      <xdr:row>7</xdr:row>
      <xdr:rowOff>314325</xdr:rowOff>
    </xdr:to>
    <xdr:sp macro="" textlink="">
      <xdr:nvSpPr>
        <xdr:cNvPr id="4" name="TextBox 3"/>
        <xdr:cNvSpPr txBox="1"/>
      </xdr:nvSpPr>
      <xdr:spPr>
        <a:xfrm>
          <a:off x="8420100" y="323850"/>
          <a:ext cx="3152775"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Using the "Schedule</a:t>
          </a:r>
          <a:r>
            <a:rPr lang="en-US" sz="1100" baseline="0"/>
            <a:t> of Amortization Bases" (Page 19 of the 6/30/13 Val ), </a:t>
          </a:r>
          <a:r>
            <a:rPr lang="en-US" sz="1100"/>
            <a:t>enter the </a:t>
          </a:r>
          <a:r>
            <a:rPr lang="en-US" sz="1100" baseline="0"/>
            <a:t>individual  amortization base(s) into the Current Schedule for each plan noting the amortization period.  Also note that 6/30/13 and later,  new bases utilize a 5 year ramp on the front and back end of the amortization schedule. </a:t>
          </a:r>
          <a:endParaRPr lang="en-US" sz="1100"/>
        </a:p>
      </xdr:txBody>
    </xdr:sp>
    <xdr:clientData/>
  </xdr:twoCellAnchor>
  <xdr:twoCellAnchor>
    <xdr:from>
      <xdr:col>11</xdr:col>
      <xdr:colOff>409575</xdr:colOff>
      <xdr:row>7</xdr:row>
      <xdr:rowOff>304800</xdr:rowOff>
    </xdr:from>
    <xdr:to>
      <xdr:col>13</xdr:col>
      <xdr:colOff>380999</xdr:colOff>
      <xdr:row>14</xdr:row>
      <xdr:rowOff>142875</xdr:rowOff>
    </xdr:to>
    <xdr:cxnSp macro="">
      <xdr:nvCxnSpPr>
        <xdr:cNvPr id="5" name="Straight Arrow Connector 4"/>
        <xdr:cNvCxnSpPr/>
      </xdr:nvCxnSpPr>
      <xdr:spPr>
        <a:xfrm flipH="1">
          <a:off x="7029450" y="1695450"/>
          <a:ext cx="1457324" cy="1400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95249</xdr:colOff>
      <xdr:row>4</xdr:row>
      <xdr:rowOff>9525</xdr:rowOff>
    </xdr:from>
    <xdr:to>
      <xdr:col>27</xdr:col>
      <xdr:colOff>314325</xdr:colOff>
      <xdr:row>15</xdr:row>
      <xdr:rowOff>152400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0.41807</cdr:x>
      <cdr:y>0.46575</cdr:y>
    </cdr:from>
    <cdr:to>
      <cdr:x>0.7865</cdr:x>
      <cdr:y>0.63454</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rot="20580825">
          <a:off x="1895474" y="1295400"/>
          <a:ext cx="1670449" cy="469433"/>
        </a:xfrm>
        <a:prstGeom xmlns:a="http://schemas.openxmlformats.org/drawingml/2006/main" prst="rect">
          <a:avLst/>
        </a:prstGeom>
      </cdr:spPr>
    </cdr:pic>
  </cdr:relSizeAnchor>
</c:userShapes>
</file>

<file path=xl/drawings/drawing26.xml><?xml version="1.0" encoding="utf-8"?>
<c:userShapes xmlns:c="http://schemas.openxmlformats.org/drawingml/2006/chart">
  <cdr:relSizeAnchor xmlns:cdr="http://schemas.openxmlformats.org/drawingml/2006/chartDrawing">
    <cdr:from>
      <cdr:x>0.42333</cdr:x>
      <cdr:y>0.46528</cdr:y>
    </cdr:from>
    <cdr:to>
      <cdr:x>0.82699</cdr:x>
      <cdr:y>0.57418</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rot="20620092">
          <a:off x="1866900" y="1276349"/>
          <a:ext cx="1780186" cy="298730"/>
        </a:xfrm>
        <a:prstGeom xmlns:a="http://schemas.openxmlformats.org/drawingml/2006/main" prst="rect">
          <a:avLst/>
        </a:prstGeom>
      </cdr:spPr>
    </cdr:pic>
  </cdr:relSizeAnchor>
</c:userShapes>
</file>

<file path=xl/drawings/drawing27.xml><?xml version="1.0" encoding="utf-8"?>
<c:userShapes xmlns:c="http://schemas.openxmlformats.org/drawingml/2006/chart">
  <cdr:relSizeAnchor xmlns:cdr="http://schemas.openxmlformats.org/drawingml/2006/chartDrawing">
    <cdr:from>
      <cdr:x>0.34183</cdr:x>
      <cdr:y>0.32692</cdr:y>
    </cdr:from>
    <cdr:to>
      <cdr:x>0.64079</cdr:x>
      <cdr:y>0.44755</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533525" y="809625"/>
          <a:ext cx="1341236" cy="298730"/>
        </a:xfrm>
        <a:prstGeom xmlns:a="http://schemas.openxmlformats.org/drawingml/2006/main" prst="rect">
          <a:avLst/>
        </a:prstGeom>
      </cdr:spPr>
    </cdr:pic>
  </cdr:relSizeAnchor>
</c:userShapes>
</file>

<file path=xl/drawings/drawing28.xml><?xml version="1.0" encoding="utf-8"?>
<xdr:wsDr xmlns:xdr="http://schemas.openxmlformats.org/drawingml/2006/spreadsheetDrawing" xmlns:a="http://schemas.openxmlformats.org/drawingml/2006/main">
  <xdr:twoCellAnchor>
    <xdr:from>
      <xdr:col>17</xdr:col>
      <xdr:colOff>171450</xdr:colOff>
      <xdr:row>28</xdr:row>
      <xdr:rowOff>23812</xdr:rowOff>
    </xdr:from>
    <xdr:to>
      <xdr:col>24</xdr:col>
      <xdr:colOff>476250</xdr:colOff>
      <xdr:row>42</xdr:row>
      <xdr:rowOff>185737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409574</xdr:colOff>
      <xdr:row>9</xdr:row>
      <xdr:rowOff>123825</xdr:rowOff>
    </xdr:from>
    <xdr:to>
      <xdr:col>27</xdr:col>
      <xdr:colOff>561975</xdr:colOff>
      <xdr:row>24</xdr:row>
      <xdr:rowOff>71437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0.91794</cdr:x>
      <cdr:y>0.93142</cdr:y>
    </cdr:from>
    <cdr:to>
      <cdr:x>0.98347</cdr:x>
      <cdr:y>0.98154</cdr:y>
    </cdr:to>
    <cdr:sp macro="" textlink="">
      <cdr:nvSpPr>
        <cdr:cNvPr id="5" name="TextBox 1"/>
        <cdr:cNvSpPr txBox="1"/>
      </cdr:nvSpPr>
      <cdr:spPr>
        <a:xfrm xmlns:a="http://schemas.openxmlformats.org/drawingml/2006/main">
          <a:off x="6170612" y="4646612"/>
          <a:ext cx="440531" cy="250032"/>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a:t>#4</a:t>
          </a:r>
        </a:p>
      </cdr:txBody>
    </cdr:sp>
  </cdr:relSizeAnchor>
</c:userShapes>
</file>

<file path=xl/drawings/drawing4.xml><?xml version="1.0" encoding="utf-8"?>
<c:userShapes xmlns:c="http://schemas.openxmlformats.org/drawingml/2006/chart">
  <cdr:relSizeAnchor xmlns:cdr="http://schemas.openxmlformats.org/drawingml/2006/chartDrawing">
    <cdr:from>
      <cdr:x>0.92097</cdr:x>
      <cdr:y>0.93599</cdr:y>
    </cdr:from>
    <cdr:to>
      <cdr:x>1</cdr:x>
      <cdr:y>0.9941</cdr:y>
    </cdr:to>
    <cdr:sp macro="" textlink="">
      <cdr:nvSpPr>
        <cdr:cNvPr id="3" name="TextBox 1"/>
        <cdr:cNvSpPr txBox="1"/>
      </cdr:nvSpPr>
      <cdr:spPr>
        <a:xfrm xmlns:a="http://schemas.openxmlformats.org/drawingml/2006/main">
          <a:off x="5133976" y="4027489"/>
          <a:ext cx="440531" cy="250032"/>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a:t>#5</a:t>
          </a:r>
        </a:p>
      </cdr:txBody>
    </cdr:sp>
  </cdr:relSizeAnchor>
</c:userShapes>
</file>

<file path=xl/drawings/drawing5.xml><?xml version="1.0" encoding="utf-8"?>
<c:userShapes xmlns:c="http://schemas.openxmlformats.org/drawingml/2006/chart">
  <cdr:relSizeAnchor xmlns:cdr="http://schemas.openxmlformats.org/drawingml/2006/chartDrawing">
    <cdr:from>
      <cdr:x>0.21473</cdr:x>
      <cdr:y>0.03256</cdr:y>
    </cdr:from>
    <cdr:to>
      <cdr:x>0.90478</cdr:x>
      <cdr:y>0.19013</cdr:y>
    </cdr:to>
    <cdr:sp macro="" textlink="">
      <cdr:nvSpPr>
        <cdr:cNvPr id="2" name="TextBox 1"/>
        <cdr:cNvSpPr txBox="1"/>
      </cdr:nvSpPr>
      <cdr:spPr>
        <a:xfrm xmlns:a="http://schemas.openxmlformats.org/drawingml/2006/main">
          <a:off x="1326358" y="147638"/>
          <a:ext cx="4262437" cy="714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t>Unfunded</a:t>
          </a:r>
          <a:r>
            <a:rPr lang="en-US" sz="1800" b="1" baseline="0"/>
            <a:t> Liability Balance</a:t>
          </a:r>
        </a:p>
        <a:p xmlns:a="http://schemas.openxmlformats.org/drawingml/2006/main">
          <a:pPr algn="ctr"/>
          <a:r>
            <a:rPr lang="en-US" sz="1800" b="1" baseline="0"/>
            <a:t>(Millions)</a:t>
          </a:r>
          <a:endParaRPr lang="en-US" sz="1800" b="1"/>
        </a:p>
      </cdr:txBody>
    </cdr:sp>
  </cdr:relSizeAnchor>
  <cdr:relSizeAnchor xmlns:cdr="http://schemas.openxmlformats.org/drawingml/2006/chartDrawing">
    <cdr:from>
      <cdr:x>0.92478</cdr:x>
      <cdr:y>0.93184</cdr:y>
    </cdr:from>
    <cdr:to>
      <cdr:x>0.99201</cdr:x>
      <cdr:y>0.98775</cdr:y>
    </cdr:to>
    <cdr:sp macro="" textlink="">
      <cdr:nvSpPr>
        <cdr:cNvPr id="3" name="TextBox 1"/>
        <cdr:cNvSpPr txBox="1"/>
      </cdr:nvSpPr>
      <cdr:spPr>
        <a:xfrm xmlns:a="http://schemas.openxmlformats.org/drawingml/2006/main">
          <a:off x="5712332" y="4224869"/>
          <a:ext cx="415277" cy="2534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t>#3</a:t>
          </a:r>
        </a:p>
      </cdr:txBody>
    </cdr:sp>
  </cdr:relSizeAnchor>
</c:userShapes>
</file>

<file path=xl/drawings/drawing6.xml><?xml version="1.0" encoding="utf-8"?>
<c:userShapes xmlns:c="http://schemas.openxmlformats.org/drawingml/2006/chart">
  <cdr:relSizeAnchor xmlns:cdr="http://schemas.openxmlformats.org/drawingml/2006/chartDrawing">
    <cdr:from>
      <cdr:x>0.64061</cdr:x>
      <cdr:y>0.15271</cdr:y>
    </cdr:from>
    <cdr:to>
      <cdr:x>0.94308</cdr:x>
      <cdr:y>0.32512</cdr:y>
    </cdr:to>
    <cdr:sp macro="" textlink="">
      <cdr:nvSpPr>
        <cdr:cNvPr id="2" name="TextBox 1"/>
        <cdr:cNvSpPr txBox="1"/>
      </cdr:nvSpPr>
      <cdr:spPr>
        <a:xfrm xmlns:a="http://schemas.openxmlformats.org/drawingml/2006/main">
          <a:off x="3590926" y="590551"/>
          <a:ext cx="1695450" cy="666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t>$258 Million </a:t>
          </a:r>
        </a:p>
        <a:p xmlns:a="http://schemas.openxmlformats.org/drawingml/2006/main">
          <a:r>
            <a:rPr lang="en-US" sz="1400"/>
            <a:t>as</a:t>
          </a:r>
          <a:r>
            <a:rPr lang="en-US" sz="1400" baseline="0"/>
            <a:t> of  June 30, 2013</a:t>
          </a:r>
          <a:endParaRPr lang="en-US" sz="1400"/>
        </a:p>
      </cdr:txBody>
    </cdr:sp>
  </cdr:relSizeAnchor>
  <cdr:relSizeAnchor xmlns:cdr="http://schemas.openxmlformats.org/drawingml/2006/chartDrawing">
    <cdr:from>
      <cdr:x>0.64061</cdr:x>
      <cdr:y>0.3399</cdr:y>
    </cdr:from>
    <cdr:to>
      <cdr:x>0.99065</cdr:x>
      <cdr:y>0.52956</cdr:y>
    </cdr:to>
    <cdr:sp macro="" textlink="">
      <cdr:nvSpPr>
        <cdr:cNvPr id="3" name="TextBox 2"/>
        <cdr:cNvSpPr txBox="1"/>
      </cdr:nvSpPr>
      <cdr:spPr>
        <a:xfrm xmlns:a="http://schemas.openxmlformats.org/drawingml/2006/main">
          <a:off x="3590925" y="1314450"/>
          <a:ext cx="1962150" cy="733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t>June</a:t>
          </a:r>
          <a:r>
            <a:rPr lang="en-US" sz="1400" baseline="0"/>
            <a:t> 30, 2015</a:t>
          </a:r>
          <a:r>
            <a:rPr lang="en-US" sz="1400"/>
            <a:t> Projection $273 Million</a:t>
          </a:r>
        </a:p>
      </cdr:txBody>
    </cdr:sp>
  </cdr:relSizeAnchor>
  <cdr:relSizeAnchor xmlns:cdr="http://schemas.openxmlformats.org/drawingml/2006/chartDrawing">
    <cdr:from>
      <cdr:x>0.91491</cdr:x>
      <cdr:y>0.92139</cdr:y>
    </cdr:from>
    <cdr:to>
      <cdr:x>0.99145</cdr:x>
      <cdr:y>0.98604</cdr:y>
    </cdr:to>
    <cdr:sp macro="" textlink="">
      <cdr:nvSpPr>
        <cdr:cNvPr id="6" name="TextBox 1"/>
        <cdr:cNvSpPr txBox="1"/>
      </cdr:nvSpPr>
      <cdr:spPr>
        <a:xfrm xmlns:a="http://schemas.openxmlformats.org/drawingml/2006/main">
          <a:off x="5265737" y="3563143"/>
          <a:ext cx="440531" cy="250032"/>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a:t>#1</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57149</xdr:colOff>
      <xdr:row>40</xdr:row>
      <xdr:rowOff>128586</xdr:rowOff>
    </xdr:from>
    <xdr:to>
      <xdr:col>15</xdr:col>
      <xdr:colOff>600075</xdr:colOff>
      <xdr:row>60</xdr:row>
      <xdr:rowOff>171449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438150</xdr:colOff>
      <xdr:row>41</xdr:row>
      <xdr:rowOff>47626</xdr:rowOff>
    </xdr:from>
    <xdr:to>
      <xdr:col>6</xdr:col>
      <xdr:colOff>1285875</xdr:colOff>
      <xdr:row>59</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542925</xdr:colOff>
      <xdr:row>8</xdr:row>
      <xdr:rowOff>166686</xdr:rowOff>
    </xdr:from>
    <xdr:to>
      <xdr:col>23</xdr:col>
      <xdr:colOff>209551</xdr:colOff>
      <xdr:row>26</xdr:row>
      <xdr:rowOff>152399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0</xdr:row>
      <xdr:rowOff>76200</xdr:rowOff>
    </xdr:from>
    <xdr:to>
      <xdr:col>11</xdr:col>
      <xdr:colOff>85725</xdr:colOff>
      <xdr:row>37</xdr:row>
      <xdr:rowOff>66675</xdr:rowOff>
    </xdr:to>
    <xdr:sp macro="" textlink="">
      <xdr:nvSpPr>
        <xdr:cNvPr id="2" name="TextBox 1"/>
        <xdr:cNvSpPr txBox="1"/>
      </xdr:nvSpPr>
      <xdr:spPr>
        <a:xfrm>
          <a:off x="171450" y="76200"/>
          <a:ext cx="6619875" cy="703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t>Workbook Notes</a:t>
          </a:r>
        </a:p>
        <a:p>
          <a:endParaRPr lang="en-US" sz="1100" baseline="0"/>
        </a:p>
        <a:p>
          <a:r>
            <a:rPr lang="en-US" sz="1100" baseline="0"/>
            <a:t>3/9/2017</a:t>
          </a:r>
        </a:p>
        <a:p>
          <a:endParaRPr lang="en-US" sz="1100" baseline="0"/>
        </a:p>
        <a:p>
          <a:endParaRPr lang="en-US" sz="1100" baseline="0"/>
        </a:p>
        <a:p>
          <a:r>
            <a:rPr lang="en-US" sz="1100" baseline="0"/>
            <a:t>Dear Colleagues:</a:t>
          </a:r>
        </a:p>
        <a:p>
          <a:endParaRPr lang="en-US" sz="1100" baseline="0"/>
        </a:p>
        <a:p>
          <a:r>
            <a:rPr lang="en-US" sz="1100" baseline="0"/>
            <a:t>Please review the notes below concerning this worksheet:</a:t>
          </a:r>
        </a:p>
        <a:p>
          <a:endParaRPr lang="en-US" sz="1100" baseline="0"/>
        </a:p>
        <a:p>
          <a:r>
            <a:rPr lang="en-US" sz="1100" baseline="0"/>
            <a:t>1) The 5 year ramped schedules in this worksheet do not account for the three year phase-in of the discount rate due to the added complexity (at least in this version).  For sake of calculation ease, this workbood assumes the 7% discount rate is currently in effect.  This will result in an understatement of interest costs in the near term but may not change the overall results materially. </a:t>
          </a:r>
        </a:p>
        <a:p>
          <a:endParaRPr lang="en-US" sz="1100" baseline="0"/>
        </a:p>
        <a:p>
          <a:r>
            <a:rPr lang="en-US" sz="1100"/>
            <a:t>2) In the Newport</a:t>
          </a:r>
          <a:r>
            <a:rPr lang="en-US" sz="1100" baseline="0"/>
            <a:t> Beach comparative analysis, we also included known losses that will appear in future valuations.  Our view is that if the losses can be reasonably estimated, it is better to start paying them down sooner than later.  If left unattended, these lossess will roll foward two years or more with accued interest betwen 7.0 - 7.5%.  The future losses that I am aware of today include include:</a:t>
          </a:r>
        </a:p>
        <a:p>
          <a:r>
            <a:rPr lang="en-US" sz="1100" baseline="0"/>
            <a:t>a) 2016 Investment loss equal to 2015 Market Value of Assets x 5.9% (7.5% expected - .6% Actual) plus rollfoward interest.</a:t>
          </a:r>
        </a:p>
        <a:p>
          <a:r>
            <a:rPr lang="en-US" sz="1100" baseline="0"/>
            <a:t>b) 2016 Discount Rate Loss 7.375%  </a:t>
          </a:r>
        </a:p>
        <a:p>
          <a:r>
            <a:rPr lang="en-US" sz="1100" baseline="0"/>
            <a:t>c)  2017 Discount Rate Loss 7.25%</a:t>
          </a:r>
        </a:p>
        <a:p>
          <a:r>
            <a:rPr lang="en-US" sz="1100" baseline="0"/>
            <a:t>d) 2018 Discount Rate Loss 7.0%</a:t>
          </a:r>
        </a:p>
        <a:p>
          <a:endParaRPr lang="en-US" sz="1100" baseline="0"/>
        </a:p>
        <a:p>
          <a:r>
            <a:rPr lang="en-US" sz="1100"/>
            <a:t>Items</a:t>
          </a:r>
          <a:r>
            <a:rPr lang="en-US" sz="1100" baseline="0"/>
            <a:t> b) through c) can be estimated using separate "Discount Rate Loss" worksheets.  These worksheets as well as staff reports and presentations can be found at:  www.newportnewportbeachca.gov/csmfo</a:t>
          </a:r>
        </a:p>
        <a:p>
          <a:endParaRPr lang="en-US" sz="1100" baseline="0"/>
        </a:p>
        <a:p>
          <a:r>
            <a:rPr lang="en-US" sz="1100" baseline="0"/>
            <a:t>Please note that this spreasheet is provided to you out of professional courtesey but the City of Newport Beach cannot guarantee the accuracy results or conclusions.</a:t>
          </a:r>
        </a:p>
        <a:p>
          <a:endParaRPr lang="en-US" sz="1100" baseline="0"/>
        </a:p>
        <a:p>
          <a:r>
            <a:rPr lang="en-US" sz="1100" baseline="0"/>
            <a:t>Please discuss the results of your analysis with your Actuary!!! Note that your 2016 Valuation should be available in July or August but is always subject to change.</a:t>
          </a:r>
        </a:p>
        <a:p>
          <a:endParaRPr lang="en-US" sz="1100" baseline="0"/>
        </a:p>
        <a:p>
          <a:r>
            <a:rPr lang="en-US" sz="1100" baseline="0"/>
            <a:t>Should you have any questions, please don't hesitate to call. My direct line is 949.644.3126. </a:t>
          </a:r>
        </a:p>
        <a:p>
          <a:endParaRPr lang="en-US" sz="1100" baseline="0"/>
        </a:p>
        <a:p>
          <a:r>
            <a:rPr lang="en-US" sz="1100" baseline="0"/>
            <a:t>Dan Matusiewicz</a:t>
          </a:r>
        </a:p>
        <a:p>
          <a:r>
            <a:rPr lang="en-US" sz="1100" baseline="0"/>
            <a:t>Finance Director</a:t>
          </a:r>
        </a:p>
        <a:p>
          <a:endParaRPr lang="en-US" sz="1100" baseline="0"/>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30</xdr:col>
      <xdr:colOff>361950</xdr:colOff>
      <xdr:row>7</xdr:row>
      <xdr:rowOff>95250</xdr:rowOff>
    </xdr:from>
    <xdr:to>
      <xdr:col>37</xdr:col>
      <xdr:colOff>161925</xdr:colOff>
      <xdr:row>18</xdr:row>
      <xdr:rowOff>80962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371475</xdr:colOff>
      <xdr:row>34</xdr:row>
      <xdr:rowOff>52387</xdr:rowOff>
    </xdr:from>
    <xdr:to>
      <xdr:col>37</xdr:col>
      <xdr:colOff>171450</xdr:colOff>
      <xdr:row>48</xdr:row>
      <xdr:rowOff>119062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485775</xdr:colOff>
      <xdr:row>48</xdr:row>
      <xdr:rowOff>123825</xdr:rowOff>
    </xdr:from>
    <xdr:to>
      <xdr:col>29</xdr:col>
      <xdr:colOff>561975</xdr:colOff>
      <xdr:row>48</xdr:row>
      <xdr:rowOff>142875</xdr:rowOff>
    </xdr:to>
    <xdr:cxnSp macro="">
      <xdr:nvCxnSpPr>
        <xdr:cNvPr id="5" name="Straight Arrow Connector 4"/>
        <xdr:cNvCxnSpPr/>
      </xdr:nvCxnSpPr>
      <xdr:spPr>
        <a:xfrm flipV="1">
          <a:off x="3724275" y="9077325"/>
          <a:ext cx="13087350" cy="19050"/>
        </a:xfrm>
        <a:prstGeom prst="straightConnector1">
          <a:avLst/>
        </a:prstGeom>
        <a:ln>
          <a:headEnd type="arrow"/>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30</xdr:col>
      <xdr:colOff>388937</xdr:colOff>
      <xdr:row>18</xdr:row>
      <xdr:rowOff>125940</xdr:rowOff>
    </xdr:from>
    <xdr:to>
      <xdr:col>37</xdr:col>
      <xdr:colOff>137582</xdr:colOff>
      <xdr:row>33</xdr:row>
      <xdr:rowOff>170390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32</xdr:col>
      <xdr:colOff>533399</xdr:colOff>
      <xdr:row>25</xdr:row>
      <xdr:rowOff>66675</xdr:rowOff>
    </xdr:from>
    <xdr:to>
      <xdr:col>35</xdr:col>
      <xdr:colOff>38099</xdr:colOff>
      <xdr:row>26</xdr:row>
      <xdr:rowOff>133350</xdr:rowOff>
    </xdr:to>
    <xdr:sp macro="" textlink="">
      <xdr:nvSpPr>
        <xdr:cNvPr id="4" name="TextBox 3"/>
        <xdr:cNvSpPr txBox="1"/>
      </xdr:nvSpPr>
      <xdr:spPr>
        <a:xfrm rot="20436961">
          <a:off x="19564349" y="4829175"/>
          <a:ext cx="13335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Default Schedule</a:t>
          </a:r>
        </a:p>
      </xdr:txBody>
    </xdr:sp>
    <xdr:clientData/>
  </xdr:twoCellAnchor>
  <xdr:twoCellAnchor>
    <xdr:from>
      <xdr:col>31</xdr:col>
      <xdr:colOff>571067</xdr:colOff>
      <xdr:row>12</xdr:row>
      <xdr:rowOff>28800</xdr:rowOff>
    </xdr:from>
    <xdr:to>
      <xdr:col>36</xdr:col>
      <xdr:colOff>28575</xdr:colOff>
      <xdr:row>13</xdr:row>
      <xdr:rowOff>95475</xdr:rowOff>
    </xdr:to>
    <xdr:sp macro="" textlink="">
      <xdr:nvSpPr>
        <xdr:cNvPr id="9" name="TextBox 8"/>
        <xdr:cNvSpPr txBox="1"/>
      </xdr:nvSpPr>
      <xdr:spPr>
        <a:xfrm>
          <a:off x="18830492" y="2276700"/>
          <a:ext cx="2667433"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Option Not Available but can</a:t>
          </a:r>
          <a:r>
            <a:rPr lang="en-US" sz="1100" baseline="0">
              <a:solidFill>
                <a:srgbClr val="FF0000"/>
              </a:solidFill>
            </a:rPr>
            <a:t> be Simulated</a:t>
          </a:r>
          <a:endParaRPr 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Shared/OMB/budget/Budget18/Financial%20Forecasts/PERS%20%20Amortization%20Comparisons_3X2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montano\AppData\Local\Microsoft\Windows\Temporary%20Internet%20Files\Content.Outlook\QP1ZFM2L\PERS%20Incremental%20Cost%20of%20Faster%20UAL%20Amortization%20V5%20-%202013%20Val%20(000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Total"/>
      <sheetName val="UL"/>
      <sheetName val="30 Year Comparison"/>
      <sheetName val="Sheet2"/>
      <sheetName val="20 Yr Comparision"/>
      <sheetName val="Safety Curr Schedule"/>
      <sheetName val="MVA AVA"/>
      <sheetName val="Sheet1"/>
      <sheetName val="Amort Schedule Efficiency"/>
      <sheetName val="Amort Schedule Comparison"/>
      <sheetName val="Payment Chart"/>
      <sheetName val="Balance Chart"/>
      <sheetName val="Sheet3"/>
    </sheetNames>
    <sheetDataSet>
      <sheetData sheetId="0"/>
      <sheetData sheetId="1"/>
      <sheetData sheetId="2"/>
      <sheetData sheetId="3"/>
      <sheetData sheetId="4"/>
      <sheetData sheetId="5"/>
      <sheetData sheetId="6"/>
      <sheetData sheetId="7"/>
      <sheetData sheetId="8"/>
      <sheetData sheetId="9"/>
      <sheetData sheetId="10">
        <row r="15">
          <cell r="C15">
            <v>1</v>
          </cell>
          <cell r="K15">
            <v>60050.527703359236</v>
          </cell>
          <cell r="AR15">
            <v>500000</v>
          </cell>
        </row>
        <row r="16">
          <cell r="C16">
            <v>2</v>
          </cell>
          <cell r="K16">
            <v>61852.043534460019</v>
          </cell>
          <cell r="AR16">
            <v>500000</v>
          </cell>
        </row>
        <row r="17">
          <cell r="C17">
            <v>3</v>
          </cell>
          <cell r="K17">
            <v>63707.604840493805</v>
          </cell>
          <cell r="AR17">
            <v>500000</v>
          </cell>
        </row>
        <row r="18">
          <cell r="C18">
            <v>4</v>
          </cell>
          <cell r="K18">
            <v>65618.832985708621</v>
          </cell>
          <cell r="AR18">
            <v>500000</v>
          </cell>
        </row>
        <row r="19">
          <cell r="C19">
            <v>5</v>
          </cell>
          <cell r="K19">
            <v>67587.397975279891</v>
          </cell>
          <cell r="AR19">
            <v>500000</v>
          </cell>
        </row>
        <row r="20">
          <cell r="C20">
            <v>6</v>
          </cell>
          <cell r="K20">
            <v>69615.019914538265</v>
          </cell>
          <cell r="AR20">
            <v>500000</v>
          </cell>
        </row>
        <row r="21">
          <cell r="C21">
            <v>7</v>
          </cell>
          <cell r="K21">
            <v>71703.470511974403</v>
          </cell>
          <cell r="AR21">
            <v>500000</v>
          </cell>
        </row>
        <row r="22">
          <cell r="C22">
            <v>8</v>
          </cell>
          <cell r="K22">
            <v>73854.574627333655</v>
          </cell>
          <cell r="AR22">
            <v>500000</v>
          </cell>
        </row>
        <row r="23">
          <cell r="C23">
            <v>9</v>
          </cell>
          <cell r="K23">
            <v>76070.211866153651</v>
          </cell>
          <cell r="AR23">
            <v>500000</v>
          </cell>
        </row>
        <row r="24">
          <cell r="C24">
            <v>10</v>
          </cell>
          <cell r="K24">
            <v>78352.318222138245</v>
          </cell>
          <cell r="AR24">
            <v>500000</v>
          </cell>
        </row>
        <row r="25">
          <cell r="C25">
            <v>11</v>
          </cell>
          <cell r="K25">
            <v>80702.887768802422</v>
          </cell>
          <cell r="AR25">
            <v>500000</v>
          </cell>
        </row>
        <row r="26">
          <cell r="C26">
            <v>12</v>
          </cell>
          <cell r="K26">
            <v>83123.97440186645</v>
          </cell>
          <cell r="AR26">
            <v>500000</v>
          </cell>
        </row>
        <row r="27">
          <cell r="C27">
            <v>13</v>
          </cell>
          <cell r="K27">
            <v>85617.693633922434</v>
          </cell>
          <cell r="AR27">
            <v>500000</v>
          </cell>
        </row>
        <row r="28">
          <cell r="C28">
            <v>14</v>
          </cell>
          <cell r="K28">
            <v>88186.224442940089</v>
          </cell>
          <cell r="AR28">
            <v>500000</v>
          </cell>
        </row>
        <row r="29">
          <cell r="C29">
            <v>15</v>
          </cell>
          <cell r="K29">
            <v>90831.811176228352</v>
          </cell>
          <cell r="AR29">
            <v>500000</v>
          </cell>
        </row>
        <row r="30">
          <cell r="C30">
            <v>16</v>
          </cell>
          <cell r="K30">
            <v>93556.765511515157</v>
          </cell>
          <cell r="AR30">
            <v>500000</v>
          </cell>
        </row>
        <row r="31">
          <cell r="C31">
            <v>17</v>
          </cell>
          <cell r="K31">
            <v>96363.468476860638</v>
          </cell>
          <cell r="AR31">
            <v>500000</v>
          </cell>
        </row>
        <row r="32">
          <cell r="C32">
            <v>18</v>
          </cell>
          <cell r="K32">
            <v>99254.37253116646</v>
          </cell>
          <cell r="AR32">
            <v>500000</v>
          </cell>
        </row>
        <row r="33">
          <cell r="C33">
            <v>19</v>
          </cell>
          <cell r="K33">
            <v>102232.00370710144</v>
          </cell>
          <cell r="AR33">
            <v>500000</v>
          </cell>
        </row>
        <row r="34">
          <cell r="C34">
            <v>20</v>
          </cell>
          <cell r="K34">
            <v>105298.96381831447</v>
          </cell>
          <cell r="AR34">
            <v>500000</v>
          </cell>
        </row>
        <row r="35">
          <cell r="C35">
            <v>21</v>
          </cell>
          <cell r="K35">
            <v>108457.93273286393</v>
          </cell>
          <cell r="AR35">
            <v>500000</v>
          </cell>
        </row>
        <row r="36">
          <cell r="C36">
            <v>22</v>
          </cell>
          <cell r="K36">
            <v>111711.67071484984</v>
          </cell>
          <cell r="AR36">
            <v>500000</v>
          </cell>
        </row>
        <row r="37">
          <cell r="C37">
            <v>23</v>
          </cell>
          <cell r="K37">
            <v>115063.02083629536</v>
          </cell>
          <cell r="AR37">
            <v>500000</v>
          </cell>
        </row>
        <row r="38">
          <cell r="C38">
            <v>24</v>
          </cell>
          <cell r="K38">
            <v>118514.9114613842</v>
          </cell>
          <cell r="AR38">
            <v>500000</v>
          </cell>
        </row>
        <row r="39">
          <cell r="C39">
            <v>25</v>
          </cell>
          <cell r="K39">
            <v>122070.3588052257</v>
          </cell>
          <cell r="AR39">
            <v>500000</v>
          </cell>
        </row>
        <row r="40">
          <cell r="C40">
            <v>26</v>
          </cell>
          <cell r="K40">
            <v>125732.46956938255</v>
          </cell>
          <cell r="AR40">
            <v>500000</v>
          </cell>
        </row>
        <row r="41">
          <cell r="C41">
            <v>27</v>
          </cell>
          <cell r="K41">
            <v>129504.44365646401</v>
          </cell>
          <cell r="AR41">
            <v>500000</v>
          </cell>
        </row>
        <row r="42">
          <cell r="C42">
            <v>28</v>
          </cell>
          <cell r="K42">
            <v>133389.57696615794</v>
          </cell>
          <cell r="AR42">
            <v>500000</v>
          </cell>
        </row>
        <row r="43">
          <cell r="C43">
            <v>29</v>
          </cell>
          <cell r="K43">
            <v>137391.26427514266</v>
          </cell>
          <cell r="AR43">
            <v>500000</v>
          </cell>
        </row>
        <row r="44">
          <cell r="C44">
            <v>30</v>
          </cell>
          <cell r="AR44">
            <v>500000</v>
          </cell>
        </row>
      </sheetData>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Charts"/>
      <sheetName val="ChartData"/>
      <sheetName val="Total"/>
      <sheetName val="UL"/>
      <sheetName val="MiscAmortBases"/>
      <sheetName val="Misc Curr Schedule"/>
      <sheetName val="Misc Alt Schedules "/>
      <sheetName val="SafetyAmort Bases"/>
      <sheetName val="Safety Curr Schedule"/>
      <sheetName val="Safety Alt Schedules "/>
      <sheetName val="MVA AVA"/>
      <sheetName val="Sheet1"/>
      <sheetName val="Sheet2"/>
    </sheetNames>
    <sheetDataSet>
      <sheetData sheetId="0"/>
      <sheetData sheetId="1"/>
      <sheetData sheetId="2"/>
      <sheetData sheetId="3">
        <row r="9">
          <cell r="E9" t="str">
            <v>19 Yr</v>
          </cell>
          <cell r="F9" t="str">
            <v>15 Yr</v>
          </cell>
          <cell r="G9" t="str">
            <v>10 Yr</v>
          </cell>
        </row>
        <row r="10">
          <cell r="E10">
            <v>21.298001712364282</v>
          </cell>
          <cell r="F10">
            <v>25.021836489826942</v>
          </cell>
          <cell r="G10">
            <v>34.048513696807483</v>
          </cell>
        </row>
        <row r="11">
          <cell r="E11">
            <v>21.936941763735213</v>
          </cell>
          <cell r="F11">
            <v>25.772491584521756</v>
          </cell>
          <cell r="G11">
            <v>35.0699691077117</v>
          </cell>
        </row>
        <row r="12">
          <cell r="E12">
            <v>22.595050016647267</v>
          </cell>
          <cell r="F12">
            <v>26.545666332057408</v>
          </cell>
          <cell r="G12">
            <v>36.12206818094306</v>
          </cell>
        </row>
        <row r="13">
          <cell r="E13">
            <v>23.272901517146693</v>
          </cell>
          <cell r="F13">
            <v>27.342036322019126</v>
          </cell>
          <cell r="G13">
            <v>37.205730226371344</v>
          </cell>
        </row>
        <row r="14">
          <cell r="E14">
            <v>23.971088562661087</v>
          </cell>
          <cell r="F14">
            <v>28.162297411679699</v>
          </cell>
          <cell r="G14">
            <v>38.321902133162482</v>
          </cell>
        </row>
        <row r="15">
          <cell r="E15">
            <v>24.690221219540923</v>
          </cell>
          <cell r="F15">
            <v>29.007166334030099</v>
          </cell>
          <cell r="G15">
            <v>39.471559197157376</v>
          </cell>
        </row>
        <row r="16">
          <cell r="E16">
            <v>25.430927856127152</v>
          </cell>
          <cell r="F16">
            <v>29.877381324050994</v>
          </cell>
          <cell r="G16">
            <v>40.655705973072102</v>
          </cell>
        </row>
        <row r="17">
          <cell r="E17">
            <v>26.193855691810967</v>
          </cell>
          <cell r="F17">
            <v>30.77370276377253</v>
          </cell>
          <cell r="G17">
            <v>41.875377152264264</v>
          </cell>
        </row>
        <row r="18">
          <cell r="E18">
            <v>26.979671362565295</v>
          </cell>
          <cell r="F18">
            <v>31.6969138466857</v>
          </cell>
          <cell r="G18">
            <v>43.131638466832186</v>
          </cell>
        </row>
        <row r="19">
          <cell r="E19">
            <v>27.789061503442255</v>
          </cell>
          <cell r="F19">
            <v>32.647821262086275</v>
          </cell>
          <cell r="G19">
            <v>44.425587620837149</v>
          </cell>
        </row>
        <row r="20">
          <cell r="E20">
            <v>28.622733348545513</v>
          </cell>
          <cell r="F20">
            <v>33.627255899948864</v>
          </cell>
          <cell r="G20">
            <v>0</v>
          </cell>
        </row>
        <row r="21">
          <cell r="E21">
            <v>29.481415349001885</v>
          </cell>
          <cell r="F21">
            <v>34.636073576947332</v>
          </cell>
        </row>
        <row r="22">
          <cell r="E22">
            <v>30.365857809471944</v>
          </cell>
          <cell r="F22">
            <v>35.675155784255757</v>
          </cell>
        </row>
        <row r="23">
          <cell r="E23">
            <v>31.276833543756098</v>
          </cell>
          <cell r="F23">
            <v>36.745410457783429</v>
          </cell>
        </row>
        <row r="24">
          <cell r="E24">
            <v>32.215138550068794</v>
          </cell>
          <cell r="F24">
            <v>37.847772771516937</v>
          </cell>
        </row>
        <row r="25">
          <cell r="E25">
            <v>33.181592706570846</v>
          </cell>
          <cell r="F25">
            <v>0</v>
          </cell>
        </row>
        <row r="26">
          <cell r="E26">
            <v>34.177040487767982</v>
          </cell>
        </row>
        <row r="27">
          <cell r="E27">
            <v>35.20235170240101</v>
          </cell>
        </row>
        <row r="28">
          <cell r="E28">
            <v>36.258422253473057</v>
          </cell>
        </row>
        <row r="29">
          <cell r="E29">
            <v>0</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hyperlink" Target="mailto:NPV@3%20%25" TargetMode="External"/><Relationship Id="rId2" Type="http://schemas.openxmlformats.org/officeDocument/2006/relationships/hyperlink" Target="mailto:NPV@3%20%25" TargetMode="External"/><Relationship Id="rId1" Type="http://schemas.openxmlformats.org/officeDocument/2006/relationships/hyperlink" Target="mailto:NPV@3%20%25"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mailto:NPV@3%2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5"/>
  <sheetViews>
    <sheetView topLeftCell="A7" workbookViewId="0">
      <selection activeCell="H28" sqref="H28"/>
    </sheetView>
  </sheetViews>
  <sheetFormatPr defaultRowHeight="15" x14ac:dyDescent="0.25"/>
  <cols>
    <col min="2" max="2" width="39.7109375" bestFit="1" customWidth="1"/>
    <col min="3" max="3" width="18.5703125" bestFit="1" customWidth="1"/>
    <col min="4" max="4" width="14.28515625" bestFit="1" customWidth="1"/>
    <col min="5" max="5" width="13.7109375" bestFit="1" customWidth="1"/>
    <col min="6" max="6" width="4" customWidth="1"/>
  </cols>
  <sheetData>
    <row r="1" spans="2:5" x14ac:dyDescent="0.25">
      <c r="B1" s="538" t="s">
        <v>43</v>
      </c>
      <c r="C1" s="538"/>
      <c r="D1" s="538"/>
      <c r="E1" s="538"/>
    </row>
    <row r="2" spans="2:5" x14ac:dyDescent="0.25">
      <c r="B2" s="538" t="s">
        <v>44</v>
      </c>
      <c r="C2" s="538"/>
      <c r="D2" s="538"/>
      <c r="E2" s="538"/>
    </row>
    <row r="4" spans="2:5" x14ac:dyDescent="0.25">
      <c r="C4" s="537" t="s">
        <v>42</v>
      </c>
      <c r="D4" s="537"/>
      <c r="E4" s="537"/>
    </row>
    <row r="5" spans="2:5" x14ac:dyDescent="0.25">
      <c r="C5" s="9" t="s">
        <v>30</v>
      </c>
      <c r="D5" s="9" t="s">
        <v>31</v>
      </c>
      <c r="E5" s="9" t="s">
        <v>33</v>
      </c>
    </row>
    <row r="6" spans="2:5" x14ac:dyDescent="0.25">
      <c r="C6" s="23"/>
      <c r="D6" s="23"/>
      <c r="E6" s="23"/>
    </row>
    <row r="7" spans="2:5" x14ac:dyDescent="0.25">
      <c r="B7" t="s">
        <v>36</v>
      </c>
      <c r="C7" s="38">
        <v>41969427</v>
      </c>
      <c r="D7" s="38">
        <v>31426132</v>
      </c>
      <c r="E7" s="39">
        <f>SUM(C7:D7)</f>
        <v>73395559</v>
      </c>
    </row>
    <row r="8" spans="2:5" x14ac:dyDescent="0.25">
      <c r="B8" t="s">
        <v>37</v>
      </c>
      <c r="C8" s="5">
        <f>Detail!E29</f>
        <v>94748969</v>
      </c>
      <c r="D8" s="5">
        <f>Detail!E13</f>
        <v>163203452</v>
      </c>
      <c r="E8" s="5">
        <f>SUM(C8:D8)</f>
        <v>257952421</v>
      </c>
    </row>
    <row r="9" spans="2:5" x14ac:dyDescent="0.25">
      <c r="B9" t="s">
        <v>38</v>
      </c>
      <c r="C9" s="28" t="s">
        <v>40</v>
      </c>
      <c r="D9" s="28" t="s">
        <v>39</v>
      </c>
      <c r="E9" s="28" t="s">
        <v>41</v>
      </c>
    </row>
    <row r="10" spans="2:5" x14ac:dyDescent="0.25">
      <c r="C10" s="23"/>
      <c r="D10" s="23"/>
      <c r="E10" s="23"/>
    </row>
    <row r="11" spans="2:5" x14ac:dyDescent="0.25">
      <c r="B11" t="s">
        <v>14</v>
      </c>
      <c r="C11" s="7">
        <f>Detail!E32</f>
        <v>6744068</v>
      </c>
      <c r="D11" s="7">
        <f>Detail!E16</f>
        <v>8301212</v>
      </c>
      <c r="E11" s="7">
        <f>SUM(C11:D11)</f>
        <v>15045280</v>
      </c>
    </row>
    <row r="12" spans="2:5" x14ac:dyDescent="0.25">
      <c r="B12" t="s">
        <v>35</v>
      </c>
      <c r="C12" s="7">
        <f>Detail!E33</f>
        <v>5452620</v>
      </c>
      <c r="D12" s="7">
        <f>Detail!E17</f>
        <v>9268990</v>
      </c>
      <c r="E12" s="7">
        <f>SUM(C12:D12)</f>
        <v>14721610</v>
      </c>
    </row>
    <row r="13" spans="2:5" x14ac:dyDescent="0.25">
      <c r="B13" t="s">
        <v>32</v>
      </c>
      <c r="C13" s="37">
        <f>Detail!E34</f>
        <v>2144006</v>
      </c>
      <c r="D13" s="37">
        <f>Detail!E18</f>
        <v>3744115</v>
      </c>
      <c r="E13" s="37">
        <f>SUM(C13:D13)</f>
        <v>5888121</v>
      </c>
    </row>
    <row r="14" spans="2:5" ht="5.45" customHeight="1" x14ac:dyDescent="0.25"/>
    <row r="15" spans="2:5" x14ac:dyDescent="0.25">
      <c r="B15" t="s">
        <v>34</v>
      </c>
      <c r="C15" s="5">
        <f>SUM(C11:C14)</f>
        <v>14340694</v>
      </c>
      <c r="D15" s="5">
        <f>SUM(D11:D14)</f>
        <v>21314317</v>
      </c>
      <c r="E15" s="5">
        <f>SUM(E11:E14)</f>
        <v>35655011</v>
      </c>
    </row>
  </sheetData>
  <mergeCells count="3">
    <mergeCell ref="C4:E4"/>
    <mergeCell ref="B1:E1"/>
    <mergeCell ref="B2:E2"/>
  </mergeCells>
  <pageMargins left="0.7" right="0.7" top="0.75" bottom="0.75" header="0.3" footer="0.3"/>
  <pageSetup scale="96"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5:W48"/>
  <sheetViews>
    <sheetView topLeftCell="A4" workbookViewId="0">
      <selection activeCell="J10" sqref="J10:R38"/>
    </sheetView>
  </sheetViews>
  <sheetFormatPr defaultRowHeight="15" x14ac:dyDescent="0.25"/>
  <cols>
    <col min="1" max="1" width="2.7109375" bestFit="1" customWidth="1"/>
    <col min="2" max="3" width="4.7109375" bestFit="1" customWidth="1"/>
    <col min="4" max="4" width="16.42578125" style="50" customWidth="1"/>
    <col min="5" max="5" width="13.42578125" style="50" bestFit="1" customWidth="1"/>
    <col min="6" max="6" width="11.7109375" style="50" customWidth="1"/>
    <col min="7" max="7" width="12.5703125" style="50" bestFit="1" customWidth="1"/>
    <col min="8" max="10" width="12.5703125" style="50" customWidth="1"/>
    <col min="11" max="11" width="14.28515625" bestFit="1" customWidth="1"/>
    <col min="12" max="12" width="12.7109375" customWidth="1"/>
    <col min="13" max="13" width="12.5703125" hidden="1" customWidth="1"/>
    <col min="14" max="14" width="13.42578125" hidden="1" customWidth="1"/>
    <col min="15" max="16" width="11.5703125" hidden="1" customWidth="1"/>
    <col min="17" max="17" width="14.28515625" hidden="1" customWidth="1"/>
    <col min="18" max="18" width="2.5703125" hidden="1" customWidth="1"/>
    <col min="19" max="19" width="11.42578125" hidden="1" customWidth="1"/>
    <col min="20" max="20" width="4.140625" hidden="1" customWidth="1"/>
    <col min="21" max="21" width="12.28515625" hidden="1" customWidth="1"/>
    <col min="22" max="22" width="3.85546875" hidden="1" customWidth="1"/>
    <col min="23" max="23" width="12.5703125" hidden="1" customWidth="1"/>
  </cols>
  <sheetData>
    <row r="5" spans="1:23" ht="28.5" x14ac:dyDescent="0.45">
      <c r="C5" t="s">
        <v>166</v>
      </c>
      <c r="D5" s="581" t="s">
        <v>209</v>
      </c>
      <c r="E5" s="581"/>
      <c r="F5" s="581"/>
      <c r="G5" s="581"/>
      <c r="H5" s="581"/>
      <c r="I5" s="581"/>
      <c r="J5" s="581"/>
      <c r="K5" s="581"/>
      <c r="L5" s="581"/>
      <c r="M5" s="581"/>
      <c r="N5" s="581"/>
      <c r="O5" s="581"/>
      <c r="P5" s="581"/>
      <c r="Q5" s="581"/>
      <c r="R5" s="581"/>
      <c r="S5" s="581"/>
      <c r="T5" s="581"/>
      <c r="U5" s="581"/>
      <c r="V5" s="581"/>
      <c r="W5" s="581"/>
    </row>
    <row r="6" spans="1:23" x14ac:dyDescent="0.25">
      <c r="B6" t="s">
        <v>161</v>
      </c>
      <c r="C6" t="s">
        <v>165</v>
      </c>
    </row>
    <row r="7" spans="1:23" ht="15.75" x14ac:dyDescent="0.25">
      <c r="B7" t="s">
        <v>162</v>
      </c>
      <c r="C7" t="s">
        <v>162</v>
      </c>
      <c r="D7" s="579" t="s">
        <v>202</v>
      </c>
      <c r="E7" s="579"/>
      <c r="F7" s="579"/>
      <c r="G7" s="579"/>
      <c r="H7" s="579"/>
      <c r="I7" s="579"/>
      <c r="J7" s="579"/>
      <c r="K7" s="579"/>
      <c r="L7" s="195"/>
      <c r="M7" s="580" t="s">
        <v>201</v>
      </c>
      <c r="N7" s="580"/>
      <c r="O7" s="580"/>
      <c r="P7" s="580"/>
      <c r="Q7" s="580"/>
      <c r="R7" s="580"/>
      <c r="S7" s="580"/>
      <c r="T7" s="195"/>
      <c r="U7" s="397" t="s">
        <v>210</v>
      </c>
      <c r="V7" s="397"/>
      <c r="W7" s="397"/>
    </row>
    <row r="8" spans="1:23" x14ac:dyDescent="0.25">
      <c r="H8" s="460">
        <v>7.3749999999999996E-2</v>
      </c>
      <c r="I8" s="461">
        <v>7.2499999999999995E-2</v>
      </c>
      <c r="J8" s="462">
        <v>7.0000000000000007E-2</v>
      </c>
      <c r="S8" s="379" t="s">
        <v>204</v>
      </c>
      <c r="W8" s="379" t="s">
        <v>204</v>
      </c>
    </row>
    <row r="9" spans="1:23" x14ac:dyDescent="0.25">
      <c r="D9" s="396" t="s">
        <v>199</v>
      </c>
      <c r="E9" s="396" t="s">
        <v>200</v>
      </c>
      <c r="F9" s="396" t="s">
        <v>157</v>
      </c>
      <c r="G9" s="396" t="s">
        <v>158</v>
      </c>
      <c r="H9" s="396" t="s">
        <v>158</v>
      </c>
      <c r="I9" s="396" t="s">
        <v>158</v>
      </c>
      <c r="J9" s="396" t="s">
        <v>158</v>
      </c>
      <c r="K9" s="396" t="s">
        <v>33</v>
      </c>
      <c r="M9" s="396" t="s">
        <v>199</v>
      </c>
      <c r="N9" s="396" t="s">
        <v>200</v>
      </c>
      <c r="O9" s="396" t="s">
        <v>157</v>
      </c>
      <c r="P9" s="396" t="s">
        <v>158</v>
      </c>
      <c r="Q9" s="396" t="s">
        <v>33</v>
      </c>
      <c r="S9" s="396" t="s">
        <v>169</v>
      </c>
      <c r="W9" s="396" t="s">
        <v>169</v>
      </c>
    </row>
    <row r="10" spans="1:23" x14ac:dyDescent="0.25">
      <c r="A10">
        <v>1</v>
      </c>
      <c r="B10">
        <v>2015</v>
      </c>
      <c r="C10">
        <v>2018</v>
      </c>
      <c r="D10" s="464">
        <v>26500896.923967961</v>
      </c>
      <c r="E10" s="464">
        <f>-1950558-946873</f>
        <v>-2897431</v>
      </c>
      <c r="F10" s="464">
        <v>406782.10456339689</v>
      </c>
      <c r="G10" s="464"/>
      <c r="H10" s="464"/>
      <c r="I10" s="464"/>
      <c r="J10" s="464"/>
      <c r="K10" s="465">
        <f>SUM(D10:J10)</f>
        <v>24010248.028531358</v>
      </c>
      <c r="M10" s="394">
        <v>26500896.923967961</v>
      </c>
      <c r="N10" s="394">
        <v>-1950557.7507914088</v>
      </c>
      <c r="O10" s="394">
        <v>2183731.2886192543</v>
      </c>
      <c r="P10" s="394">
        <v>3177327.2991134506</v>
      </c>
      <c r="Q10" s="394">
        <f>SUM(M10:P10)</f>
        <v>29911397.760909259</v>
      </c>
      <c r="S10" s="51">
        <f>K10-Q10</f>
        <v>-5901149.7323779017</v>
      </c>
      <c r="U10" s="394">
        <v>32204184.220538326</v>
      </c>
      <c r="W10" s="51">
        <f>K10-U10</f>
        <v>-8193936.192006968</v>
      </c>
    </row>
    <row r="11" spans="1:23" x14ac:dyDescent="0.25">
      <c r="A11">
        <v>2</v>
      </c>
      <c r="B11">
        <f>B10+1</f>
        <v>2016</v>
      </c>
      <c r="C11">
        <v>2019</v>
      </c>
      <c r="D11" s="464">
        <v>27295923.831687011</v>
      </c>
      <c r="E11" s="464">
        <v>-3013611.7249727263</v>
      </c>
      <c r="F11" s="464">
        <v>837971.13540059759</v>
      </c>
      <c r="G11" s="464">
        <v>642293.10703789792</v>
      </c>
      <c r="H11" s="464">
        <v>191367.51339918928</v>
      </c>
      <c r="I11" s="464">
        <v>183340.37866438099</v>
      </c>
      <c r="J11" s="464">
        <v>353691.14988599217</v>
      </c>
      <c r="K11" s="465">
        <f t="shared" ref="K11:K40" si="0">SUM(D11:J11)</f>
        <v>26490975.391102344</v>
      </c>
      <c r="M11" s="394">
        <v>27295923.831687011</v>
      </c>
      <c r="N11" s="394">
        <v>-3013611.7249727263</v>
      </c>
      <c r="O11" s="394">
        <v>2249243.2272778312</v>
      </c>
      <c r="P11" s="394">
        <v>3272647.1180868535</v>
      </c>
      <c r="Q11" s="394">
        <f t="shared" ref="Q11:Q40" si="1">SUM(M11:P11)</f>
        <v>29804202.452078968</v>
      </c>
      <c r="S11" s="51">
        <f t="shared" ref="S11:S40" si="2">K11-Q11</f>
        <v>-3313227.0609766245</v>
      </c>
      <c r="U11" s="394">
        <v>32204184.220538322</v>
      </c>
      <c r="W11" s="51">
        <f t="shared" ref="W11:W40" si="3">K11-U11</f>
        <v>-5713208.8294359781</v>
      </c>
    </row>
    <row r="12" spans="1:23" x14ac:dyDescent="0.25">
      <c r="A12">
        <v>3</v>
      </c>
      <c r="B12" s="49">
        <f t="shared" ref="B12:B39" si="4">B11+1</f>
        <v>2017</v>
      </c>
      <c r="C12">
        <v>2020</v>
      </c>
      <c r="D12" s="464">
        <v>28114801.546637621</v>
      </c>
      <c r="E12" s="464">
        <v>-4138693.4356292109</v>
      </c>
      <c r="F12" s="464">
        <v>1294665.4041939231</v>
      </c>
      <c r="G12" s="464">
        <v>1323123.8004980697</v>
      </c>
      <c r="H12" s="464">
        <v>394217.07760232995</v>
      </c>
      <c r="I12" s="464">
        <v>377681.18004862487</v>
      </c>
      <c r="J12" s="464">
        <v>728603.76876514393</v>
      </c>
      <c r="K12" s="465">
        <f t="shared" si="0"/>
        <v>28094399.342116501</v>
      </c>
      <c r="M12" s="394">
        <v>28114801.546637621</v>
      </c>
      <c r="N12" s="394">
        <v>-4138693.4356292109</v>
      </c>
      <c r="O12" s="394">
        <v>2316720.5240961658</v>
      </c>
      <c r="P12" s="394">
        <v>3370826.5316294585</v>
      </c>
      <c r="Q12" s="394">
        <f t="shared" si="1"/>
        <v>29663655.166734032</v>
      </c>
      <c r="S12" s="51">
        <f t="shared" si="2"/>
        <v>-1569255.8246175312</v>
      </c>
      <c r="U12" s="394">
        <v>32204184.220538322</v>
      </c>
      <c r="W12" s="51">
        <f t="shared" si="3"/>
        <v>-4109784.8784218207</v>
      </c>
    </row>
    <row r="13" spans="1:23" x14ac:dyDescent="0.25">
      <c r="A13">
        <v>4</v>
      </c>
      <c r="B13" s="49">
        <f t="shared" si="4"/>
        <v>2018</v>
      </c>
      <c r="C13">
        <v>2021</v>
      </c>
      <c r="D13" s="464">
        <v>28958245.593036748</v>
      </c>
      <c r="E13" s="464">
        <v>-5328567.7983726095</v>
      </c>
      <c r="F13" s="464">
        <v>1778007.1550929879</v>
      </c>
      <c r="G13" s="464">
        <v>2044226.2717695176</v>
      </c>
      <c r="H13" s="464">
        <v>609065.38489559968</v>
      </c>
      <c r="I13" s="464">
        <v>583517.42317512538</v>
      </c>
      <c r="J13" s="464">
        <v>1125692.8227421474</v>
      </c>
      <c r="K13" s="465">
        <f t="shared" si="0"/>
        <v>29770186.852339514</v>
      </c>
      <c r="M13" s="394">
        <v>28958245.593036748</v>
      </c>
      <c r="N13" s="394">
        <v>-5328567.7983726095</v>
      </c>
      <c r="O13" s="394">
        <v>2386222.1398190507</v>
      </c>
      <c r="P13" s="394">
        <v>3471951.3275783425</v>
      </c>
      <c r="Q13" s="394">
        <f t="shared" si="1"/>
        <v>29487851.262061533</v>
      </c>
      <c r="S13" s="51">
        <f t="shared" si="2"/>
        <v>282335.59027798101</v>
      </c>
      <c r="U13" s="394">
        <v>32204184.220538329</v>
      </c>
      <c r="W13" s="51">
        <f t="shared" si="3"/>
        <v>-2433997.3681988157</v>
      </c>
    </row>
    <row r="14" spans="1:23" x14ac:dyDescent="0.25">
      <c r="A14">
        <v>5</v>
      </c>
      <c r="B14" s="49">
        <f t="shared" si="4"/>
        <v>2019</v>
      </c>
      <c r="C14">
        <v>2022</v>
      </c>
      <c r="D14" s="464">
        <v>29826992.960827854</v>
      </c>
      <c r="E14" s="464">
        <v>-5488424.8323237868</v>
      </c>
      <c r="F14" s="464">
        <v>2289184.2121822219</v>
      </c>
      <c r="G14" s="464">
        <v>2807404.0798968044</v>
      </c>
      <c r="H14" s="464">
        <v>836449.79525662365</v>
      </c>
      <c r="I14" s="464">
        <v>801363.92782717221</v>
      </c>
      <c r="J14" s="464">
        <v>1545951.4765658823</v>
      </c>
      <c r="K14" s="465">
        <f t="shared" si="0"/>
        <v>32618921.620232772</v>
      </c>
      <c r="M14" s="394">
        <v>29826992.960827854</v>
      </c>
      <c r="N14" s="394">
        <v>-5488424.8323237868</v>
      </c>
      <c r="O14" s="394">
        <v>2457808.8040136229</v>
      </c>
      <c r="P14" s="394">
        <v>3576109.8674056935</v>
      </c>
      <c r="Q14" s="394">
        <f t="shared" si="1"/>
        <v>30372486.799923386</v>
      </c>
      <c r="S14" s="51">
        <f t="shared" si="2"/>
        <v>2246434.8203093857</v>
      </c>
      <c r="U14" s="394">
        <v>32204184.220538322</v>
      </c>
      <c r="W14" s="51">
        <f t="shared" si="3"/>
        <v>414737.3996944502</v>
      </c>
    </row>
    <row r="15" spans="1:23" x14ac:dyDescent="0.25">
      <c r="A15">
        <v>6</v>
      </c>
      <c r="B15" s="49">
        <f t="shared" si="4"/>
        <v>2020</v>
      </c>
      <c r="C15">
        <v>2023</v>
      </c>
      <c r="D15" s="464">
        <v>30721802.74965268</v>
      </c>
      <c r="E15" s="464">
        <v>-5653077.5772935012</v>
      </c>
      <c r="F15" s="464">
        <v>2357859.7385476884</v>
      </c>
      <c r="G15" s="464">
        <v>3614532.7528671357</v>
      </c>
      <c r="H15" s="464">
        <v>1076929.1113929029</v>
      </c>
      <c r="I15" s="464">
        <v>1031756.0570774841</v>
      </c>
      <c r="J15" s="464">
        <v>1990412.5260785732</v>
      </c>
      <c r="K15" s="465">
        <f t="shared" si="0"/>
        <v>35140215.358322963</v>
      </c>
      <c r="M15" s="394">
        <v>30721802.74965268</v>
      </c>
      <c r="N15" s="394">
        <v>-5653077.5772935012</v>
      </c>
      <c r="O15" s="394">
        <v>2531543.0681340313</v>
      </c>
      <c r="P15" s="394">
        <v>3683393.1634278637</v>
      </c>
      <c r="Q15" s="394">
        <f t="shared" si="1"/>
        <v>31283661.403921075</v>
      </c>
      <c r="S15" s="51">
        <f t="shared" si="2"/>
        <v>3856553.954401888</v>
      </c>
      <c r="U15" s="394">
        <v>32204184.220538337</v>
      </c>
      <c r="W15" s="51">
        <f t="shared" si="3"/>
        <v>2936031.1377846263</v>
      </c>
    </row>
    <row r="16" spans="1:23" x14ac:dyDescent="0.25">
      <c r="A16">
        <v>7</v>
      </c>
      <c r="B16" s="49">
        <f t="shared" si="4"/>
        <v>2021</v>
      </c>
      <c r="C16">
        <v>2024</v>
      </c>
      <c r="D16" s="464">
        <v>31643456.83214226</v>
      </c>
      <c r="E16" s="464">
        <v>-5822669.9046123065</v>
      </c>
      <c r="F16" s="464">
        <v>2428595.5307041192</v>
      </c>
      <c r="G16" s="464">
        <v>3722968.7354531493</v>
      </c>
      <c r="H16" s="464">
        <v>1109236.9847346898</v>
      </c>
      <c r="I16" s="464">
        <v>1062708.7387898085</v>
      </c>
      <c r="J16" s="464">
        <v>2050124.9018609303</v>
      </c>
      <c r="K16" s="465">
        <f t="shared" si="0"/>
        <v>36194421.819072656</v>
      </c>
      <c r="M16" s="394">
        <v>31643456.83214226</v>
      </c>
      <c r="N16" s="394">
        <v>-5822669.9046123065</v>
      </c>
      <c r="O16" s="394">
        <v>2607489.3601780529</v>
      </c>
      <c r="P16" s="394">
        <v>3793894.9583307002</v>
      </c>
      <c r="Q16" s="394">
        <f t="shared" si="1"/>
        <v>32222171.246038705</v>
      </c>
      <c r="S16" s="51">
        <f t="shared" si="2"/>
        <v>3972250.5730339512</v>
      </c>
      <c r="U16" s="394">
        <v>32204184.220538326</v>
      </c>
      <c r="W16" s="51">
        <f t="shared" si="3"/>
        <v>3990237.5985343307</v>
      </c>
    </row>
    <row r="17" spans="1:23" x14ac:dyDescent="0.25">
      <c r="A17">
        <v>8</v>
      </c>
      <c r="B17" s="49">
        <f t="shared" si="4"/>
        <v>2022</v>
      </c>
      <c r="C17">
        <v>2025</v>
      </c>
      <c r="D17" s="464">
        <v>32592760.537106529</v>
      </c>
      <c r="E17" s="464">
        <v>-5997350.001750675</v>
      </c>
      <c r="F17" s="464">
        <v>2501453.3966252427</v>
      </c>
      <c r="G17" s="464">
        <v>3834657.7975167441</v>
      </c>
      <c r="H17" s="464">
        <v>1142514.0942767307</v>
      </c>
      <c r="I17" s="464">
        <v>1094590.000953503</v>
      </c>
      <c r="J17" s="464">
        <v>2111628.6489167581</v>
      </c>
      <c r="K17" s="465">
        <f t="shared" si="0"/>
        <v>37280254.473644838</v>
      </c>
      <c r="M17" s="394">
        <v>32592760.537106529</v>
      </c>
      <c r="N17" s="394">
        <v>-5997350.001750675</v>
      </c>
      <c r="O17" s="394">
        <v>2685714.0409833938</v>
      </c>
      <c r="P17" s="394">
        <v>3907711.8070806223</v>
      </c>
      <c r="Q17" s="394">
        <f t="shared" si="1"/>
        <v>33188836.383419871</v>
      </c>
      <c r="S17" s="51">
        <f t="shared" si="2"/>
        <v>4091418.0902249664</v>
      </c>
      <c r="U17" s="394">
        <v>32204184.220538326</v>
      </c>
      <c r="W17" s="51">
        <f t="shared" si="3"/>
        <v>5076070.2531065121</v>
      </c>
    </row>
    <row r="18" spans="1:23" x14ac:dyDescent="0.25">
      <c r="A18">
        <v>9</v>
      </c>
      <c r="B18" s="49">
        <f t="shared" si="4"/>
        <v>2023</v>
      </c>
      <c r="C18">
        <v>2026</v>
      </c>
      <c r="D18" s="464">
        <v>33570543.353219725</v>
      </c>
      <c r="E18" s="464">
        <v>-6177270.5018031951</v>
      </c>
      <c r="F18" s="464">
        <v>2576496.9985239999</v>
      </c>
      <c r="G18" s="464">
        <v>3949697.5314422469</v>
      </c>
      <c r="H18" s="464">
        <v>1176789.5171050327</v>
      </c>
      <c r="I18" s="464">
        <v>1127427.700982108</v>
      </c>
      <c r="J18" s="464">
        <v>2174977.5083842613</v>
      </c>
      <c r="K18" s="465">
        <f t="shared" si="0"/>
        <v>38398662.107854173</v>
      </c>
      <c r="M18" s="394">
        <v>33570543.353219725</v>
      </c>
      <c r="N18" s="394">
        <v>-6177270.5018031951</v>
      </c>
      <c r="O18" s="394">
        <v>2766285.462212896</v>
      </c>
      <c r="P18" s="394">
        <v>4024943.1612930405</v>
      </c>
      <c r="Q18" s="394">
        <f t="shared" si="1"/>
        <v>34184501.474922463</v>
      </c>
      <c r="S18" s="51">
        <f t="shared" si="2"/>
        <v>4214160.6329317093</v>
      </c>
      <c r="U18" s="394">
        <v>32204184.220538333</v>
      </c>
      <c r="W18" s="51">
        <f t="shared" si="3"/>
        <v>6194477.8873158395</v>
      </c>
    </row>
    <row r="19" spans="1:23" x14ac:dyDescent="0.25">
      <c r="A19">
        <v>10</v>
      </c>
      <c r="B19" s="49">
        <f t="shared" si="4"/>
        <v>2024</v>
      </c>
      <c r="C19">
        <v>2027</v>
      </c>
      <c r="D19" s="464">
        <v>34577659.65381632</v>
      </c>
      <c r="E19" s="464">
        <v>-6362588.6168572912</v>
      </c>
      <c r="F19" s="464">
        <v>2653791.9084797199</v>
      </c>
      <c r="G19" s="464">
        <v>4068188.4573855135</v>
      </c>
      <c r="H19" s="464">
        <v>1212093.2026181836</v>
      </c>
      <c r="I19" s="464">
        <v>1161250.5320115711</v>
      </c>
      <c r="J19" s="464">
        <v>2240226.8336357889</v>
      </c>
      <c r="K19" s="465">
        <f t="shared" si="0"/>
        <v>39550621.971089803</v>
      </c>
      <c r="M19" s="394">
        <v>34577659.65381632</v>
      </c>
      <c r="N19" s="394">
        <v>-6362588.6168572912</v>
      </c>
      <c r="O19" s="394">
        <v>2849274.0260792822</v>
      </c>
      <c r="P19" s="394">
        <v>4145691.4561318313</v>
      </c>
      <c r="Q19" s="394">
        <f t="shared" si="1"/>
        <v>35210036.519170143</v>
      </c>
      <c r="S19" s="51">
        <f t="shared" si="2"/>
        <v>4340585.45191966</v>
      </c>
      <c r="U19" s="394">
        <v>32204184.220538337</v>
      </c>
      <c r="W19" s="51">
        <f t="shared" si="3"/>
        <v>7346437.7505514659</v>
      </c>
    </row>
    <row r="20" spans="1:23" x14ac:dyDescent="0.25">
      <c r="A20">
        <v>11</v>
      </c>
      <c r="B20" s="49">
        <f t="shared" si="4"/>
        <v>2025</v>
      </c>
      <c r="C20">
        <v>2028</v>
      </c>
      <c r="D20" s="464">
        <v>35614989.443430804</v>
      </c>
      <c r="E20" s="464">
        <v>-6553466.2753630104</v>
      </c>
      <c r="F20" s="464">
        <v>2733405.6657341113</v>
      </c>
      <c r="G20" s="464">
        <v>4190234.1111070793</v>
      </c>
      <c r="H20" s="464">
        <v>1248455.9986967291</v>
      </c>
      <c r="I20" s="464">
        <v>1196088.0479719182</v>
      </c>
      <c r="J20" s="464">
        <v>2307433.6386448625</v>
      </c>
      <c r="K20" s="465">
        <f t="shared" si="0"/>
        <v>40737140.630222492</v>
      </c>
      <c r="M20" s="394">
        <v>35614989.443430804</v>
      </c>
      <c r="N20" s="394">
        <v>-6553466.2753630104</v>
      </c>
      <c r="O20" s="394">
        <v>2934752.2468616613</v>
      </c>
      <c r="P20" s="394">
        <v>4270062.1998157864</v>
      </c>
      <c r="Q20" s="394">
        <f t="shared" si="1"/>
        <v>36266337.614745244</v>
      </c>
      <c r="S20" s="51">
        <f t="shared" si="2"/>
        <v>4470803.0154772475</v>
      </c>
      <c r="U20" s="394">
        <v>32204184.220538341</v>
      </c>
      <c r="W20" s="51">
        <f t="shared" si="3"/>
        <v>8532956.4096841514</v>
      </c>
    </row>
    <row r="21" spans="1:23" x14ac:dyDescent="0.25">
      <c r="A21">
        <v>12</v>
      </c>
      <c r="B21" s="49">
        <f t="shared" si="4"/>
        <v>2026</v>
      </c>
      <c r="C21">
        <v>2029</v>
      </c>
      <c r="D21" s="464">
        <v>36683439.126733735</v>
      </c>
      <c r="E21" s="464">
        <v>-6750070.2636238998</v>
      </c>
      <c r="F21" s="464">
        <v>2815407.8357061348</v>
      </c>
      <c r="G21" s="464">
        <v>4315941.1344402917</v>
      </c>
      <c r="H21" s="464">
        <v>1285909.6786576309</v>
      </c>
      <c r="I21" s="464">
        <v>1231970.6894110758</v>
      </c>
      <c r="J21" s="464">
        <v>2376656.6478042081</v>
      </c>
      <c r="K21" s="465">
        <f t="shared" si="0"/>
        <v>41959254.84912917</v>
      </c>
      <c r="M21" s="394">
        <v>36683439.126733735</v>
      </c>
      <c r="N21" s="394">
        <v>-6750070.2636238998</v>
      </c>
      <c r="O21" s="394">
        <v>3022794.8142675105</v>
      </c>
      <c r="P21" s="394">
        <v>4398164.0658102585</v>
      </c>
      <c r="Q21" s="394">
        <f t="shared" si="1"/>
        <v>37354327.743187599</v>
      </c>
      <c r="S21" s="51">
        <f t="shared" si="2"/>
        <v>4604927.1059415713</v>
      </c>
      <c r="U21" s="394">
        <v>32204184.220538341</v>
      </c>
      <c r="W21" s="51">
        <f t="shared" si="3"/>
        <v>9755070.6285908297</v>
      </c>
    </row>
    <row r="22" spans="1:23" x14ac:dyDescent="0.25">
      <c r="A22">
        <v>13</v>
      </c>
      <c r="B22" s="49">
        <f t="shared" si="4"/>
        <v>2027</v>
      </c>
      <c r="C22">
        <v>2030</v>
      </c>
      <c r="D22" s="464">
        <v>37783942.300535761</v>
      </c>
      <c r="E22" s="464">
        <v>-6952572.3715326162</v>
      </c>
      <c r="F22" s="464">
        <v>2899870.0707773184</v>
      </c>
      <c r="G22" s="464">
        <v>4445419.3684735</v>
      </c>
      <c r="H22" s="464">
        <v>1324486.9690173599</v>
      </c>
      <c r="I22" s="464">
        <v>1268929.8100934082</v>
      </c>
      <c r="J22" s="464">
        <v>2447956.3472383348</v>
      </c>
      <c r="K22" s="465">
        <f t="shared" si="0"/>
        <v>43218032.49460306</v>
      </c>
      <c r="M22" s="394">
        <v>37783942.300535761</v>
      </c>
      <c r="N22" s="394">
        <v>-6952572.3715326162</v>
      </c>
      <c r="O22" s="394">
        <v>3113478.6586955357</v>
      </c>
      <c r="P22" s="394">
        <v>4530108.9877845673</v>
      </c>
      <c r="Q22" s="394">
        <f t="shared" si="1"/>
        <v>38474957.575483248</v>
      </c>
      <c r="S22" s="51">
        <f t="shared" si="2"/>
        <v>4743074.9191198125</v>
      </c>
      <c r="U22" s="394">
        <v>32204184.220538329</v>
      </c>
      <c r="W22" s="51">
        <f t="shared" si="3"/>
        <v>11013848.274064731</v>
      </c>
    </row>
    <row r="23" spans="1:23" x14ac:dyDescent="0.25">
      <c r="A23">
        <v>14</v>
      </c>
      <c r="B23" s="49">
        <f t="shared" si="4"/>
        <v>2028</v>
      </c>
      <c r="C23">
        <v>2031</v>
      </c>
      <c r="D23" s="464">
        <v>38917460.569551833</v>
      </c>
      <c r="E23" s="464">
        <v>-7161149.5426785955</v>
      </c>
      <c r="F23" s="464">
        <v>2986866.1729006381</v>
      </c>
      <c r="G23" s="464">
        <v>4578781.9495277051</v>
      </c>
      <c r="H23" s="464">
        <v>1364221.5780878805</v>
      </c>
      <c r="I23" s="464">
        <v>1306997.7043962101</v>
      </c>
      <c r="J23" s="464">
        <v>2521395.0376554844</v>
      </c>
      <c r="K23" s="465">
        <f t="shared" si="0"/>
        <v>44514573.469441161</v>
      </c>
      <c r="M23" s="394">
        <v>38917460.569551833</v>
      </c>
      <c r="N23" s="394">
        <v>-7161149.5426785955</v>
      </c>
      <c r="O23" s="394">
        <v>3206883.0184564022</v>
      </c>
      <c r="P23" s="394">
        <v>4666012.2574181044</v>
      </c>
      <c r="Q23" s="394">
        <f t="shared" si="1"/>
        <v>39629206.302747741</v>
      </c>
      <c r="S23" s="51">
        <f t="shared" si="2"/>
        <v>4885367.1666934192</v>
      </c>
      <c r="U23" s="394">
        <v>32204184.220538337</v>
      </c>
      <c r="W23" s="51">
        <f t="shared" si="3"/>
        <v>12310389.248902824</v>
      </c>
    </row>
    <row r="24" spans="1:23" x14ac:dyDescent="0.25">
      <c r="A24">
        <v>15</v>
      </c>
      <c r="B24" s="49">
        <f t="shared" si="4"/>
        <v>2029</v>
      </c>
      <c r="C24">
        <v>2032</v>
      </c>
      <c r="D24" s="464">
        <v>40084984.386638395</v>
      </c>
      <c r="E24" s="464">
        <v>-7375984.0289589539</v>
      </c>
      <c r="F24" s="464">
        <v>3076472.1580876573</v>
      </c>
      <c r="G24" s="464">
        <v>4716145.4080135357</v>
      </c>
      <c r="H24" s="464">
        <v>1405148.2254305168</v>
      </c>
      <c r="I24" s="464">
        <v>1346207.6355280965</v>
      </c>
      <c r="J24" s="464">
        <v>2597036.8887851485</v>
      </c>
      <c r="K24" s="465">
        <f t="shared" si="0"/>
        <v>45850010.673524395</v>
      </c>
      <c r="M24" s="394">
        <v>40084984.386638395</v>
      </c>
      <c r="N24" s="394">
        <v>-7375984.0289589539</v>
      </c>
      <c r="O24" s="394">
        <v>3303089.5090100942</v>
      </c>
      <c r="P24" s="394">
        <v>4805992.6251406474</v>
      </c>
      <c r="Q24" s="394">
        <f t="shared" si="1"/>
        <v>40818082.491830178</v>
      </c>
      <c r="S24" s="51">
        <f t="shared" si="2"/>
        <v>5031928.181694217</v>
      </c>
      <c r="U24" s="394">
        <v>32204184.220538344</v>
      </c>
      <c r="W24" s="51">
        <f t="shared" si="3"/>
        <v>13645826.45298605</v>
      </c>
    </row>
    <row r="25" spans="1:23" x14ac:dyDescent="0.25">
      <c r="A25">
        <v>16</v>
      </c>
      <c r="B25" s="49">
        <f t="shared" si="4"/>
        <v>2030</v>
      </c>
      <c r="C25">
        <v>2033</v>
      </c>
      <c r="D25" s="464">
        <v>41287533.918237552</v>
      </c>
      <c r="E25" s="464">
        <v>-7597263.549827721</v>
      </c>
      <c r="F25" s="464">
        <v>3168766.3228302873</v>
      </c>
      <c r="G25" s="464">
        <v>4857629.7702539423</v>
      </c>
      <c r="H25" s="464">
        <v>1447302.6721934325</v>
      </c>
      <c r="I25" s="464">
        <v>1386593.8645939396</v>
      </c>
      <c r="J25" s="464">
        <v>2674947.9954487034</v>
      </c>
      <c r="K25" s="465">
        <f t="shared" si="0"/>
        <v>47225510.993730128</v>
      </c>
      <c r="M25" s="394">
        <v>41287533.918237552</v>
      </c>
      <c r="N25" s="394">
        <v>-7597263.549827721</v>
      </c>
      <c r="O25" s="394">
        <v>3402182.194280399</v>
      </c>
      <c r="P25" s="394">
        <v>4950172.4038948687</v>
      </c>
      <c r="Q25" s="394">
        <f t="shared" si="1"/>
        <v>42042624.9665851</v>
      </c>
      <c r="S25" s="51">
        <f t="shared" si="2"/>
        <v>5182886.0271450281</v>
      </c>
      <c r="U25" s="394">
        <v>32204184.220538341</v>
      </c>
      <c r="W25" s="51">
        <f t="shared" si="3"/>
        <v>15021326.773191787</v>
      </c>
    </row>
    <row r="26" spans="1:23" x14ac:dyDescent="0.25">
      <c r="A26">
        <v>17</v>
      </c>
      <c r="B26" s="49">
        <f t="shared" si="4"/>
        <v>2031</v>
      </c>
      <c r="C26">
        <v>2034</v>
      </c>
      <c r="D26" s="464">
        <v>42526159.935784683</v>
      </c>
      <c r="E26" s="464">
        <v>-7825181.4563225526</v>
      </c>
      <c r="F26" s="464">
        <v>3263829.3125151955</v>
      </c>
      <c r="G26" s="464">
        <v>5003358.6633615606</v>
      </c>
      <c r="H26" s="464">
        <v>1490721.7523592357</v>
      </c>
      <c r="I26" s="464">
        <v>1428191.6805317579</v>
      </c>
      <c r="J26" s="464">
        <v>2755196.4353121645</v>
      </c>
      <c r="K26" s="465">
        <f t="shared" si="0"/>
        <v>48642276.323542051</v>
      </c>
      <c r="M26" s="394">
        <v>42526159.935784683</v>
      </c>
      <c r="N26" s="394">
        <v>-7825181.4563225526</v>
      </c>
      <c r="O26" s="394">
        <v>3504247.6601088103</v>
      </c>
      <c r="P26" s="394">
        <v>5098677.5760117136</v>
      </c>
      <c r="Q26" s="394">
        <f t="shared" si="1"/>
        <v>43303903.715582654</v>
      </c>
      <c r="S26" s="51">
        <f t="shared" si="2"/>
        <v>5338372.6079593971</v>
      </c>
      <c r="U26" s="394">
        <v>32204184.220538348</v>
      </c>
      <c r="W26" s="51">
        <f t="shared" si="3"/>
        <v>16438092.103003703</v>
      </c>
    </row>
    <row r="27" spans="1:23" x14ac:dyDescent="0.25">
      <c r="A27">
        <v>18</v>
      </c>
      <c r="B27" s="49">
        <f t="shared" si="4"/>
        <v>2032</v>
      </c>
      <c r="C27">
        <v>2035</v>
      </c>
      <c r="D27" s="464"/>
      <c r="E27" s="464">
        <v>-8059936.9000122296</v>
      </c>
      <c r="F27" s="464">
        <v>3361744.1918906514</v>
      </c>
      <c r="G27" s="464">
        <v>5153459.4232624071</v>
      </c>
      <c r="H27" s="464">
        <v>1535443.4049300123</v>
      </c>
      <c r="I27" s="464">
        <v>1471037.4309477103</v>
      </c>
      <c r="J27" s="464">
        <v>2837852.328371529</v>
      </c>
      <c r="K27" s="465">
        <f t="shared" si="0"/>
        <v>6299599.8793900805</v>
      </c>
      <c r="M27" s="394"/>
      <c r="N27" s="394">
        <v>-8059936.9000122296</v>
      </c>
      <c r="O27" s="394">
        <v>3609375.0899120742</v>
      </c>
      <c r="P27" s="394">
        <v>5251637.9032920655</v>
      </c>
      <c r="Q27" s="394">
        <f t="shared" si="1"/>
        <v>801076.09319191054</v>
      </c>
      <c r="S27" s="51">
        <f t="shared" si="2"/>
        <v>5498523.7861981699</v>
      </c>
      <c r="U27" s="394">
        <v>-8059936.9000122296</v>
      </c>
      <c r="W27" s="51">
        <f t="shared" si="3"/>
        <v>14359536.77940231</v>
      </c>
    </row>
    <row r="28" spans="1:23" x14ac:dyDescent="0.25">
      <c r="A28">
        <v>19</v>
      </c>
      <c r="B28" s="49">
        <f t="shared" si="4"/>
        <v>2033</v>
      </c>
      <c r="C28">
        <v>2036</v>
      </c>
      <c r="D28" s="464"/>
      <c r="E28" s="464">
        <v>-8301735.0070125964</v>
      </c>
      <c r="F28" s="464">
        <v>3462596.5176473707</v>
      </c>
      <c r="G28" s="464">
        <v>5308063.2059602793</v>
      </c>
      <c r="H28" s="464">
        <v>1581506.7070779128</v>
      </c>
      <c r="I28" s="464">
        <v>1515168.5538761416</v>
      </c>
      <c r="J28" s="464">
        <v>2922987.8982226751</v>
      </c>
      <c r="K28" s="465">
        <f t="shared" si="0"/>
        <v>6488587.8757717833</v>
      </c>
      <c r="M28" s="394"/>
      <c r="N28" s="394">
        <v>-8301735.0070125964</v>
      </c>
      <c r="O28" s="394">
        <v>3717656.3426094372</v>
      </c>
      <c r="P28" s="394">
        <v>5409187.0403908268</v>
      </c>
      <c r="Q28" s="394">
        <f t="shared" si="1"/>
        <v>825108.37598766759</v>
      </c>
      <c r="S28" s="51">
        <f t="shared" si="2"/>
        <v>5663479.4997841157</v>
      </c>
      <c r="U28" s="394">
        <v>-8301735.0070125964</v>
      </c>
      <c r="W28" s="51">
        <f t="shared" si="3"/>
        <v>14790322.88278438</v>
      </c>
    </row>
    <row r="29" spans="1:23" x14ac:dyDescent="0.25">
      <c r="A29">
        <v>20</v>
      </c>
      <c r="B29" s="49">
        <f t="shared" si="4"/>
        <v>2034</v>
      </c>
      <c r="C29">
        <v>2037</v>
      </c>
      <c r="D29" s="464"/>
      <c r="E29" s="464">
        <v>-8550787.0572229736</v>
      </c>
      <c r="F29" s="464">
        <v>3566474.4131767917</v>
      </c>
      <c r="G29" s="464">
        <v>5467305.1021390874</v>
      </c>
      <c r="H29" s="464">
        <v>1628951.9082902502</v>
      </c>
      <c r="I29" s="464">
        <v>1560623.6104924257</v>
      </c>
      <c r="J29" s="464">
        <v>3010677.5351693551</v>
      </c>
      <c r="K29" s="465">
        <f t="shared" si="0"/>
        <v>6683245.5120449364</v>
      </c>
      <c r="M29" s="394"/>
      <c r="N29" s="394">
        <v>-8550787.0572229736</v>
      </c>
      <c r="O29" s="394">
        <v>3829186.03288772</v>
      </c>
      <c r="P29" s="394">
        <v>5571462.6516025532</v>
      </c>
      <c r="Q29" s="394">
        <f t="shared" si="1"/>
        <v>849861.62726729922</v>
      </c>
      <c r="S29" s="51">
        <f t="shared" si="2"/>
        <v>5833383.8847776372</v>
      </c>
      <c r="U29" s="394">
        <v>-8550787.0572229736</v>
      </c>
      <c r="W29" s="51">
        <f t="shared" si="3"/>
        <v>15234032.56926791</v>
      </c>
    </row>
    <row r="30" spans="1:23" x14ac:dyDescent="0.25">
      <c r="A30">
        <v>21</v>
      </c>
      <c r="B30" s="49">
        <f t="shared" si="4"/>
        <v>2035</v>
      </c>
      <c r="C30">
        <v>2038</v>
      </c>
      <c r="D30" s="464"/>
      <c r="E30" s="464">
        <v>-8807310.6689396612</v>
      </c>
      <c r="F30" s="464">
        <v>3673468.6455720956</v>
      </c>
      <c r="G30" s="464">
        <v>5631324.2552032601</v>
      </c>
      <c r="H30" s="464">
        <v>1677820.4655389576</v>
      </c>
      <c r="I30" s="464">
        <v>1607442.3188071987</v>
      </c>
      <c r="J30" s="464">
        <v>3100997.8612244357</v>
      </c>
      <c r="K30" s="465">
        <f t="shared" si="0"/>
        <v>6883742.877406287</v>
      </c>
      <c r="M30" s="394"/>
      <c r="N30" s="394">
        <v>-8807310.6689396612</v>
      </c>
      <c r="O30" s="394">
        <v>0</v>
      </c>
      <c r="P30" s="394">
        <v>0</v>
      </c>
      <c r="Q30" s="394">
        <f t="shared" si="1"/>
        <v>-8807310.6689396612</v>
      </c>
      <c r="S30" s="51">
        <f t="shared" si="2"/>
        <v>15691053.546345949</v>
      </c>
      <c r="U30" s="394">
        <v>-8807310.6689396612</v>
      </c>
      <c r="W30" s="51">
        <f t="shared" si="3"/>
        <v>15691053.546345949</v>
      </c>
    </row>
    <row r="31" spans="1:23" x14ac:dyDescent="0.25">
      <c r="A31">
        <v>22</v>
      </c>
      <c r="B31" s="49">
        <f t="shared" si="4"/>
        <v>2036</v>
      </c>
      <c r="C31">
        <v>2039</v>
      </c>
      <c r="D31" s="464"/>
      <c r="E31" s="464">
        <v>-9071529.989007853</v>
      </c>
      <c r="F31" s="464">
        <v>3783672.7049392578</v>
      </c>
      <c r="G31" s="464">
        <v>5800263.9828593573</v>
      </c>
      <c r="H31" s="464">
        <v>1728155.0795051262</v>
      </c>
      <c r="I31" s="464">
        <v>1655665.5883714145</v>
      </c>
      <c r="J31" s="464">
        <v>3194027.7970611691</v>
      </c>
      <c r="K31" s="465">
        <f t="shared" si="0"/>
        <v>7090255.1637284718</v>
      </c>
      <c r="M31" s="394"/>
      <c r="N31" s="394">
        <v>-9071529.989007853</v>
      </c>
      <c r="O31" s="394"/>
      <c r="P31" s="394"/>
      <c r="Q31" s="394">
        <f t="shared" si="1"/>
        <v>-9071529.989007853</v>
      </c>
      <c r="S31" s="51">
        <f t="shared" si="2"/>
        <v>16161785.152736325</v>
      </c>
      <c r="U31" s="394">
        <v>-9071529.989007853</v>
      </c>
      <c r="W31" s="51">
        <f t="shared" si="3"/>
        <v>16161785.152736325</v>
      </c>
    </row>
    <row r="32" spans="1:23" x14ac:dyDescent="0.25">
      <c r="A32">
        <v>23</v>
      </c>
      <c r="B32" s="49">
        <f t="shared" si="4"/>
        <v>2037</v>
      </c>
      <c r="C32">
        <v>2040</v>
      </c>
      <c r="D32" s="464"/>
      <c r="E32" s="464">
        <v>-9343675.8886780888</v>
      </c>
      <c r="F32" s="464">
        <v>3897182.8860874362</v>
      </c>
      <c r="G32" s="464">
        <v>5974271.9023451377</v>
      </c>
      <c r="H32" s="464">
        <v>1779999.7318902798</v>
      </c>
      <c r="I32" s="464">
        <v>1705335.5560225567</v>
      </c>
      <c r="J32" s="464">
        <v>3289848.6309730033</v>
      </c>
      <c r="K32" s="465">
        <f t="shared" si="0"/>
        <v>7302962.8186403252</v>
      </c>
      <c r="M32" s="394"/>
      <c r="N32" s="394">
        <v>-9343675.8886780888</v>
      </c>
      <c r="O32" s="394"/>
      <c r="P32" s="394"/>
      <c r="Q32" s="394">
        <f t="shared" si="1"/>
        <v>-9343675.8886780888</v>
      </c>
      <c r="S32" s="51">
        <f t="shared" si="2"/>
        <v>16646638.707318414</v>
      </c>
      <c r="U32" s="394">
        <v>-9343675.8886780888</v>
      </c>
      <c r="W32" s="51">
        <f t="shared" si="3"/>
        <v>16646638.707318414</v>
      </c>
    </row>
    <row r="33" spans="1:23" x14ac:dyDescent="0.25">
      <c r="A33">
        <v>24</v>
      </c>
      <c r="B33" s="49">
        <f t="shared" si="4"/>
        <v>2038</v>
      </c>
      <c r="C33">
        <v>2041</v>
      </c>
      <c r="D33" s="464"/>
      <c r="E33" s="464">
        <v>-9623986.1653384306</v>
      </c>
      <c r="F33" s="464">
        <v>4014098.3726700596</v>
      </c>
      <c r="G33" s="464">
        <v>6153500.0594154922</v>
      </c>
      <c r="H33" s="464">
        <v>1833399.7238469885</v>
      </c>
      <c r="I33" s="464">
        <v>1756495.6227032335</v>
      </c>
      <c r="J33" s="464">
        <v>3388544.0899021938</v>
      </c>
      <c r="K33" s="465">
        <f t="shared" si="0"/>
        <v>7522051.7031995375</v>
      </c>
      <c r="M33" s="394"/>
      <c r="N33" s="394">
        <v>-9623986.1653384306</v>
      </c>
      <c r="O33" s="394"/>
      <c r="P33" s="394"/>
      <c r="Q33" s="394">
        <f t="shared" si="1"/>
        <v>-9623986.1653384306</v>
      </c>
      <c r="S33" s="51">
        <f t="shared" si="2"/>
        <v>17146037.86853797</v>
      </c>
      <c r="U33" s="394">
        <v>-9623986.1653384306</v>
      </c>
      <c r="W33" s="51">
        <f t="shared" si="3"/>
        <v>17146037.86853797</v>
      </c>
    </row>
    <row r="34" spans="1:23" x14ac:dyDescent="0.25">
      <c r="A34">
        <v>25</v>
      </c>
      <c r="B34" s="49">
        <f t="shared" si="4"/>
        <v>2039</v>
      </c>
      <c r="C34">
        <v>2042</v>
      </c>
      <c r="D34" s="464"/>
      <c r="E34" s="464">
        <v>-9912705.750298582</v>
      </c>
      <c r="F34" s="464">
        <v>4134521.3238501605</v>
      </c>
      <c r="G34" s="464">
        <v>6338105.061197957</v>
      </c>
      <c r="H34" s="464">
        <v>1888401.7155623981</v>
      </c>
      <c r="I34" s="464">
        <v>1809190.4913843307</v>
      </c>
      <c r="J34" s="464">
        <v>3490200.41259926</v>
      </c>
      <c r="K34" s="465">
        <f t="shared" si="0"/>
        <v>7747713.2542955242</v>
      </c>
      <c r="M34" s="394"/>
      <c r="N34" s="394">
        <v>-9912705.750298582</v>
      </c>
      <c r="O34" s="394"/>
      <c r="P34" s="394"/>
      <c r="Q34" s="394">
        <f t="shared" si="1"/>
        <v>-9912705.750298582</v>
      </c>
      <c r="S34" s="51">
        <f t="shared" si="2"/>
        <v>17660419.004594106</v>
      </c>
      <c r="U34" s="394">
        <v>-9912705.750298582</v>
      </c>
      <c r="W34" s="51">
        <f t="shared" si="3"/>
        <v>17660419.004594106</v>
      </c>
    </row>
    <row r="35" spans="1:23" x14ac:dyDescent="0.25">
      <c r="A35">
        <v>26</v>
      </c>
      <c r="B35" s="49">
        <f t="shared" si="4"/>
        <v>2040</v>
      </c>
      <c r="C35">
        <v>2043</v>
      </c>
      <c r="D35" s="464"/>
      <c r="E35" s="464">
        <v>-8168069.5382460346</v>
      </c>
      <c r="F35" s="464">
        <v>4258556.9635656653</v>
      </c>
      <c r="G35" s="464">
        <v>6528248.213033895</v>
      </c>
      <c r="H35" s="464">
        <v>1945053.7670292698</v>
      </c>
      <c r="I35" s="464">
        <v>1863466.2061258603</v>
      </c>
      <c r="J35" s="464">
        <v>3594906.4249772374</v>
      </c>
      <c r="K35" s="465">
        <f t="shared" si="0"/>
        <v>10022162.036485892</v>
      </c>
      <c r="M35" s="394"/>
      <c r="N35" s="394">
        <v>-8168069.5382460346</v>
      </c>
      <c r="O35" s="394"/>
      <c r="P35" s="394"/>
      <c r="Q35" s="394">
        <f t="shared" si="1"/>
        <v>-8168069.5382460346</v>
      </c>
      <c r="S35" s="51">
        <f t="shared" si="2"/>
        <v>18190231.574731927</v>
      </c>
      <c r="U35" s="394">
        <v>-8168069.5382460346</v>
      </c>
      <c r="W35" s="51">
        <f t="shared" si="3"/>
        <v>18190231.574731927</v>
      </c>
    </row>
    <row r="36" spans="1:23" x14ac:dyDescent="0.25">
      <c r="A36">
        <v>27</v>
      </c>
      <c r="B36" s="49">
        <f t="shared" si="4"/>
        <v>2041</v>
      </c>
      <c r="C36">
        <v>2044</v>
      </c>
      <c r="D36" s="464"/>
      <c r="E36" s="464">
        <v>-6309833.7182950601</v>
      </c>
      <c r="F36" s="464">
        <v>3509050.9379781093</v>
      </c>
      <c r="G36" s="464">
        <v>6724095.6594249122</v>
      </c>
      <c r="H36" s="464">
        <v>2003405.3800401478</v>
      </c>
      <c r="I36" s="464">
        <v>1919370.1923096362</v>
      </c>
      <c r="J36" s="464">
        <v>3702753.6177265542</v>
      </c>
      <c r="K36" s="465">
        <f t="shared" si="0"/>
        <v>11548842.0691843</v>
      </c>
      <c r="M36" s="394"/>
      <c r="N36" s="394">
        <v>-6309833.7182950601</v>
      </c>
      <c r="O36" s="394"/>
      <c r="P36" s="394"/>
      <c r="Q36" s="394">
        <f t="shared" si="1"/>
        <v>-6309833.7182950601</v>
      </c>
      <c r="S36" s="51">
        <f t="shared" si="2"/>
        <v>17858675.78747936</v>
      </c>
      <c r="U36" s="394">
        <v>-6309833.7182950601</v>
      </c>
      <c r="W36" s="51">
        <f t="shared" si="3"/>
        <v>17858675.78747936</v>
      </c>
    </row>
    <row r="37" spans="1:23" x14ac:dyDescent="0.25">
      <c r="A37">
        <v>28</v>
      </c>
      <c r="B37" s="49">
        <f t="shared" si="4"/>
        <v>2042</v>
      </c>
      <c r="C37">
        <v>2045</v>
      </c>
      <c r="D37" s="464"/>
      <c r="E37" s="464">
        <v>-4332752.4865626087</v>
      </c>
      <c r="F37" s="464">
        <v>2710741.8495880882</v>
      </c>
      <c r="G37" s="464">
        <v>5540654.8233661279</v>
      </c>
      <c r="H37" s="464">
        <v>1650806.0331530822</v>
      </c>
      <c r="I37" s="464">
        <v>1581561.0384631406</v>
      </c>
      <c r="J37" s="464">
        <v>3051068.9810066815</v>
      </c>
      <c r="K37" s="465">
        <f t="shared" si="0"/>
        <v>10202080.239014512</v>
      </c>
      <c r="M37" s="394"/>
      <c r="N37" s="394">
        <v>-4332752.4865626087</v>
      </c>
      <c r="O37" s="394"/>
      <c r="P37" s="394"/>
      <c r="Q37" s="394">
        <f t="shared" si="1"/>
        <v>-4332752.4865626087</v>
      </c>
      <c r="S37" s="51">
        <f t="shared" si="2"/>
        <v>14534832.72557712</v>
      </c>
      <c r="U37" s="394">
        <v>-4332752.4865626087</v>
      </c>
      <c r="W37" s="51">
        <f t="shared" si="3"/>
        <v>14534832.72557712</v>
      </c>
    </row>
    <row r="38" spans="1:23" x14ac:dyDescent="0.25">
      <c r="A38">
        <v>29</v>
      </c>
      <c r="B38" s="49">
        <f t="shared" si="4"/>
        <v>2043</v>
      </c>
      <c r="C38">
        <v>2046</v>
      </c>
      <c r="D38" s="464"/>
      <c r="E38" s="464">
        <v>-2231367.530579743</v>
      </c>
      <c r="F38" s="464">
        <v>1861376.0700504878</v>
      </c>
      <c r="G38" s="464">
        <v>4280155.8510503331</v>
      </c>
      <c r="H38" s="464">
        <v>1275247.6606107557</v>
      </c>
      <c r="I38" s="464">
        <v>1221755.9022127758</v>
      </c>
      <c r="J38" s="464">
        <v>2356950.7878276608</v>
      </c>
      <c r="K38" s="465">
        <f t="shared" si="0"/>
        <v>8764118.7411722708</v>
      </c>
      <c r="M38" s="394"/>
      <c r="N38" s="394">
        <v>-2231367.530579743</v>
      </c>
      <c r="O38" s="394"/>
      <c r="P38" s="394"/>
      <c r="Q38" s="394">
        <f t="shared" si="1"/>
        <v>-2231367.530579743</v>
      </c>
      <c r="S38" s="51">
        <f t="shared" si="2"/>
        <v>10995486.271752015</v>
      </c>
      <c r="U38" s="394">
        <v>-2231367.530579743</v>
      </c>
      <c r="W38" s="51">
        <f t="shared" si="3"/>
        <v>10995486.271752015</v>
      </c>
    </row>
    <row r="39" spans="1:23" x14ac:dyDescent="0.25">
      <c r="A39">
        <v>30</v>
      </c>
      <c r="B39" s="49">
        <f t="shared" si="4"/>
        <v>2044</v>
      </c>
      <c r="C39">
        <v>2047</v>
      </c>
      <c r="D39" s="464"/>
      <c r="E39" s="464"/>
      <c r="F39" s="464">
        <v>958608.67607600102</v>
      </c>
      <c r="G39" s="464">
        <v>2939040.3510545623</v>
      </c>
      <c r="H39" s="464">
        <v>875670.06028605241</v>
      </c>
      <c r="I39" s="464">
        <v>838939.05285277276</v>
      </c>
      <c r="J39" s="464">
        <v>1618439.540974994</v>
      </c>
      <c r="K39" s="465">
        <f t="shared" si="0"/>
        <v>7230697.6812443826</v>
      </c>
      <c r="M39" s="394"/>
      <c r="N39" s="394"/>
      <c r="O39" s="394"/>
      <c r="P39" s="394"/>
      <c r="Q39" s="394">
        <f t="shared" si="1"/>
        <v>0</v>
      </c>
      <c r="S39" s="51">
        <f t="shared" si="2"/>
        <v>7230697.6812443826</v>
      </c>
      <c r="U39" s="394">
        <v>0</v>
      </c>
      <c r="W39" s="51">
        <f t="shared" si="3"/>
        <v>7230697.6812443826</v>
      </c>
    </row>
    <row r="40" spans="1:23" x14ac:dyDescent="0.25">
      <c r="A40">
        <f>A39+1</f>
        <v>31</v>
      </c>
      <c r="D40" s="464"/>
      <c r="E40" s="464"/>
      <c r="F40" s="464"/>
      <c r="G40" s="464">
        <v>1513605.7807930997</v>
      </c>
      <c r="H40" s="464">
        <v>450970.08104731695</v>
      </c>
      <c r="I40" s="464">
        <v>432053.61221917794</v>
      </c>
      <c r="J40" s="464">
        <v>833496.36360212183</v>
      </c>
      <c r="K40" s="465">
        <f t="shared" si="0"/>
        <v>3230125.8376617166</v>
      </c>
      <c r="M40" s="394"/>
      <c r="N40" s="394"/>
      <c r="O40" s="394"/>
      <c r="P40" s="394"/>
      <c r="Q40" s="394">
        <f t="shared" si="1"/>
        <v>0</v>
      </c>
      <c r="S40" s="51">
        <f t="shared" si="2"/>
        <v>3230125.8376617166</v>
      </c>
      <c r="U40" s="394"/>
      <c r="W40" s="51">
        <f t="shared" si="3"/>
        <v>3230125.8376617166</v>
      </c>
    </row>
    <row r="41" spans="1:23" x14ac:dyDescent="0.25">
      <c r="D41" s="459">
        <f>SUM(D10:D40)</f>
        <v>576701593.6630075</v>
      </c>
      <c r="E41" s="459">
        <f t="shared" ref="E41:G41" si="5">SUM(E10:E40)</f>
        <v>-193809063.58211651</v>
      </c>
      <c r="F41" s="459">
        <f t="shared" si="5"/>
        <v>83261518.675957412</v>
      </c>
      <c r="G41" s="459">
        <f t="shared" si="5"/>
        <v>131466696.61015061</v>
      </c>
      <c r="H41" s="459"/>
      <c r="I41" s="459"/>
      <c r="J41" s="459"/>
      <c r="K41" s="459">
        <f>SUM(K10:K40)</f>
        <v>746711892.08773935</v>
      </c>
      <c r="L41" s="50">
        <f t="shared" ref="L41:W41" si="6">SUM(L10:L40)</f>
        <v>0</v>
      </c>
      <c r="M41" s="459">
        <f t="shared" si="6"/>
        <v>576701593.6630075</v>
      </c>
      <c r="N41" s="459">
        <f t="shared" si="6"/>
        <v>-192862190.33290794</v>
      </c>
      <c r="O41" s="50">
        <f t="shared" si="6"/>
        <v>58677677.508503221</v>
      </c>
      <c r="P41" s="50">
        <f t="shared" si="6"/>
        <v>85375974.401239231</v>
      </c>
      <c r="Q41" s="50">
        <f t="shared" si="6"/>
        <v>527893055.23984182</v>
      </c>
      <c r="R41" s="50">
        <f t="shared" si="6"/>
        <v>0</v>
      </c>
      <c r="S41" s="50">
        <f t="shared" si="6"/>
        <v>218818836.84789738</v>
      </c>
      <c r="T41" s="50">
        <f t="shared" si="6"/>
        <v>0</v>
      </c>
      <c r="U41" s="50">
        <f t="shared" si="6"/>
        <v>454757441.04895765</v>
      </c>
      <c r="V41" s="50">
        <f t="shared" si="6"/>
        <v>0</v>
      </c>
      <c r="W41" s="50">
        <f t="shared" si="6"/>
        <v>291954451.03878164</v>
      </c>
    </row>
    <row r="42" spans="1:23" x14ac:dyDescent="0.25">
      <c r="D42" s="50" t="s">
        <v>206</v>
      </c>
      <c r="K42" s="51">
        <f>SUM(K10:K41)</f>
        <v>1493423784.1754787</v>
      </c>
      <c r="M42" s="51"/>
      <c r="N42" s="51"/>
      <c r="O42" s="51"/>
      <c r="P42" s="51"/>
      <c r="Q42" s="51">
        <f>SUM(Q10:Q41)</f>
        <v>1055786110.4796836</v>
      </c>
      <c r="U42" s="51">
        <f>SUM(U10:U41)</f>
        <v>909514882.09791529</v>
      </c>
    </row>
    <row r="43" spans="1:23" x14ac:dyDescent="0.25">
      <c r="D43" s="50" t="s">
        <v>208</v>
      </c>
      <c r="Q43" s="51">
        <f>K42-Q42</f>
        <v>437637673.69579506</v>
      </c>
      <c r="U43" s="51">
        <f>SUM(W10:W41)</f>
        <v>583908902.07756329</v>
      </c>
    </row>
    <row r="44" spans="1:23" s="49" customFormat="1" x14ac:dyDescent="0.25">
      <c r="D44" s="50" t="s">
        <v>205</v>
      </c>
      <c r="E44" s="50"/>
      <c r="F44" s="50"/>
      <c r="G44" s="50"/>
      <c r="H44" s="50"/>
      <c r="I44" s="50"/>
      <c r="J44" s="50"/>
      <c r="K44" s="51"/>
      <c r="Q44" s="51">
        <f>NPV(0.03,S10:S40)</f>
        <v>114285056.85307759</v>
      </c>
      <c r="S44" s="51"/>
      <c r="U44" s="51">
        <f>NPV(0.03,W10:W40)</f>
        <v>156969678.62701148</v>
      </c>
      <c r="W44" s="51"/>
    </row>
    <row r="45" spans="1:23" ht="7.5" customHeight="1" x14ac:dyDescent="0.25"/>
    <row r="46" spans="1:23" x14ac:dyDescent="0.25">
      <c r="D46" s="50" t="s">
        <v>188</v>
      </c>
      <c r="K46" s="105">
        <f>K42/315058648</f>
        <v>4.740145346448255</v>
      </c>
      <c r="L46" s="105"/>
      <c r="M46" s="105"/>
      <c r="N46" s="105"/>
      <c r="O46" s="105"/>
      <c r="P46" s="105"/>
      <c r="Q46" s="105">
        <f>Q42/315058648</f>
        <v>3.3510780204950401</v>
      </c>
      <c r="R46" s="105"/>
      <c r="S46" s="105"/>
      <c r="T46" s="105"/>
      <c r="U46" s="105">
        <f>U42/315058648</f>
        <v>2.8868113536052351</v>
      </c>
    </row>
    <row r="47" spans="1:23" ht="8.25" customHeight="1" x14ac:dyDescent="0.25"/>
    <row r="48" spans="1:23" x14ac:dyDescent="0.25">
      <c r="D48" s="50" t="s">
        <v>207</v>
      </c>
      <c r="K48" s="105">
        <f>(K42-315058648)/K42</f>
        <v>0.78903600482434777</v>
      </c>
      <c r="Q48" s="105">
        <f>(Q42-315058648)/Q42</f>
        <v>0.70158856526644686</v>
      </c>
      <c r="U48" s="105">
        <f>(U42-315058648)/U42</f>
        <v>0.65359703925539303</v>
      </c>
    </row>
  </sheetData>
  <mergeCells count="3">
    <mergeCell ref="D7:K7"/>
    <mergeCell ref="M7:S7"/>
    <mergeCell ref="D5:W5"/>
  </mergeCells>
  <pageMargins left="0.25" right="0.25" top="0.75" bottom="0.75" header="0.3" footer="0.3"/>
  <pageSetup scale="7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5:W48"/>
  <sheetViews>
    <sheetView topLeftCell="A4" workbookViewId="0">
      <selection activeCell="J10" sqref="J10:R38"/>
    </sheetView>
  </sheetViews>
  <sheetFormatPr defaultColWidth="9.140625" defaultRowHeight="15" x14ac:dyDescent="0.25"/>
  <cols>
    <col min="1" max="1" width="2.7109375" style="49" bestFit="1" customWidth="1"/>
    <col min="2" max="3" width="4.7109375" style="49" bestFit="1" customWidth="1"/>
    <col min="4" max="7" width="11.7109375" style="50" hidden="1" customWidth="1"/>
    <col min="8" max="8" width="12.5703125" style="49" hidden="1" customWidth="1"/>
    <col min="9" max="9" width="3" style="49" customWidth="1"/>
    <col min="10" max="10" width="12.5703125" style="49" bestFit="1" customWidth="1"/>
    <col min="11" max="11" width="13.140625" style="49" customWidth="1"/>
    <col min="12" max="12" width="12.42578125" style="49" customWidth="1"/>
    <col min="13" max="16" width="12.28515625" style="49" customWidth="1"/>
    <col min="17" max="17" width="14.28515625" style="49" customWidth="1"/>
    <col min="18" max="18" width="2.5703125" style="49" customWidth="1"/>
    <col min="19" max="19" width="11.42578125" style="49" customWidth="1"/>
    <col min="20" max="20" width="4.140625" style="49" customWidth="1"/>
    <col min="21" max="21" width="12.28515625" style="49" hidden="1" customWidth="1"/>
    <col min="22" max="22" width="3.85546875" style="49" hidden="1" customWidth="1"/>
    <col min="23" max="23" width="12.5703125" style="49" hidden="1" customWidth="1"/>
    <col min="24" max="16384" width="9.140625" style="49"/>
  </cols>
  <sheetData>
    <row r="5" spans="1:23" ht="28.5" x14ac:dyDescent="0.45">
      <c r="C5" s="49" t="s">
        <v>166</v>
      </c>
      <c r="D5" s="581" t="s">
        <v>209</v>
      </c>
      <c r="E5" s="581"/>
      <c r="F5" s="581"/>
      <c r="G5" s="581"/>
      <c r="H5" s="581"/>
      <c r="I5" s="581"/>
      <c r="J5" s="581"/>
      <c r="K5" s="581"/>
      <c r="L5" s="581"/>
      <c r="M5" s="581"/>
      <c r="N5" s="581"/>
      <c r="O5" s="581"/>
      <c r="P5" s="581"/>
      <c r="Q5" s="581"/>
      <c r="R5" s="581"/>
      <c r="S5" s="581"/>
      <c r="T5" s="581"/>
      <c r="U5" s="581"/>
      <c r="V5" s="581"/>
      <c r="W5" s="581"/>
    </row>
    <row r="6" spans="1:23" x14ac:dyDescent="0.25">
      <c r="B6" s="49" t="s">
        <v>161</v>
      </c>
      <c r="C6" s="49" t="s">
        <v>165</v>
      </c>
    </row>
    <row r="7" spans="1:23" ht="15.75" x14ac:dyDescent="0.25">
      <c r="B7" s="49" t="s">
        <v>162</v>
      </c>
      <c r="C7" s="49" t="s">
        <v>162</v>
      </c>
      <c r="D7" s="579" t="s">
        <v>202</v>
      </c>
      <c r="E7" s="579"/>
      <c r="F7" s="579"/>
      <c r="G7" s="579"/>
      <c r="H7" s="579"/>
      <c r="I7" s="195"/>
      <c r="J7" s="580" t="s">
        <v>222</v>
      </c>
      <c r="K7" s="580"/>
      <c r="L7" s="580"/>
      <c r="M7" s="580"/>
      <c r="N7" s="580"/>
      <c r="O7" s="580"/>
      <c r="P7" s="580"/>
      <c r="Q7" s="580"/>
      <c r="R7" s="580"/>
      <c r="S7" s="580"/>
      <c r="T7" s="195"/>
      <c r="U7" s="397" t="s">
        <v>210</v>
      </c>
      <c r="V7" s="397"/>
      <c r="W7" s="397"/>
    </row>
    <row r="8" spans="1:23" x14ac:dyDescent="0.25">
      <c r="N8" s="460">
        <v>7.3749999999999996E-2</v>
      </c>
      <c r="O8" s="461">
        <v>7.2499999999999995E-2</v>
      </c>
      <c r="P8" s="462">
        <v>7.0000000000000007E-2</v>
      </c>
      <c r="S8" s="439" t="s">
        <v>204</v>
      </c>
      <c r="W8" s="439" t="s">
        <v>204</v>
      </c>
    </row>
    <row r="9" spans="1:23" x14ac:dyDescent="0.25">
      <c r="D9" s="396" t="s">
        <v>199</v>
      </c>
      <c r="E9" s="396" t="s">
        <v>200</v>
      </c>
      <c r="F9" s="396" t="s">
        <v>157</v>
      </c>
      <c r="G9" s="396" t="s">
        <v>158</v>
      </c>
      <c r="H9" s="396" t="s">
        <v>33</v>
      </c>
      <c r="J9" s="396" t="s">
        <v>199</v>
      </c>
      <c r="K9" s="396" t="s">
        <v>200</v>
      </c>
      <c r="L9" s="396" t="s">
        <v>157</v>
      </c>
      <c r="M9" s="396" t="s">
        <v>158</v>
      </c>
      <c r="N9" s="396" t="s">
        <v>158</v>
      </c>
      <c r="O9" s="396" t="s">
        <v>158</v>
      </c>
      <c r="P9" s="396" t="s">
        <v>158</v>
      </c>
      <c r="Q9" s="396" t="s">
        <v>33</v>
      </c>
      <c r="S9" s="396" t="s">
        <v>169</v>
      </c>
      <c r="W9" s="396" t="s">
        <v>169</v>
      </c>
    </row>
    <row r="10" spans="1:23" x14ac:dyDescent="0.25">
      <c r="A10" s="49">
        <v>1</v>
      </c>
      <c r="B10" s="49">
        <v>2015</v>
      </c>
      <c r="C10" s="49">
        <v>2018</v>
      </c>
      <c r="D10" s="394">
        <v>26500896.923967961</v>
      </c>
      <c r="E10" s="394">
        <v>-1950557.7507914088</v>
      </c>
      <c r="F10" s="394">
        <v>406782.10456339689</v>
      </c>
      <c r="G10" s="394"/>
      <c r="H10" s="184">
        <f>SUM(D10:G10)</f>
        <v>24957121.27773995</v>
      </c>
      <c r="J10" s="394">
        <v>26500896.923967961</v>
      </c>
      <c r="K10" s="394">
        <f>-1950558-946873</f>
        <v>-2897431</v>
      </c>
      <c r="L10" s="394">
        <v>2097223.8853948261</v>
      </c>
      <c r="M10" s="394">
        <v>3066077.0672127386</v>
      </c>
      <c r="N10" s="394">
        <v>929158.60432003951</v>
      </c>
      <c r="O10" s="394">
        <v>970027.52137141256</v>
      </c>
      <c r="P10" s="394">
        <v>2070027.0551254395</v>
      </c>
      <c r="Q10" s="394">
        <f>SUM(J10:P10)</f>
        <v>32735980.057392418</v>
      </c>
      <c r="S10" s="51">
        <f>H10-Q10</f>
        <v>-7778858.7796524689</v>
      </c>
      <c r="U10" s="394">
        <v>32204184.220538326</v>
      </c>
      <c r="W10" s="51">
        <f>H10-U10</f>
        <v>-7247062.9427983761</v>
      </c>
    </row>
    <row r="11" spans="1:23" x14ac:dyDescent="0.25">
      <c r="A11" s="49">
        <v>2</v>
      </c>
      <c r="B11" s="49">
        <f>B10+1</f>
        <v>2016</v>
      </c>
      <c r="C11" s="49">
        <v>2019</v>
      </c>
      <c r="D11" s="394">
        <v>27295923.831687011</v>
      </c>
      <c r="E11" s="394">
        <v>-3013611.7249727263</v>
      </c>
      <c r="F11" s="394">
        <v>837971.13540059759</v>
      </c>
      <c r="G11" s="394">
        <v>636257.71370438207</v>
      </c>
      <c r="H11" s="184">
        <f t="shared" ref="H11:H40" si="0">SUM(D11:G11)</f>
        <v>25756540.955819264</v>
      </c>
      <c r="J11" s="394">
        <v>27295923.831687011</v>
      </c>
      <c r="K11" s="394">
        <v>-3013611.7249727263</v>
      </c>
      <c r="L11" s="394">
        <v>2163882.7840244989</v>
      </c>
      <c r="M11" s="394">
        <v>3158059.3792291214</v>
      </c>
      <c r="N11" s="394">
        <v>957033.36244964087</v>
      </c>
      <c r="O11" s="394">
        <v>999128.34701255499</v>
      </c>
      <c r="P11" s="394">
        <v>2132127.8667792031</v>
      </c>
      <c r="Q11" s="394">
        <f>SUM(J11:P11)</f>
        <v>33692543.846209303</v>
      </c>
      <c r="S11" s="51">
        <f t="shared" ref="S11:S40" si="1">H11-Q11</f>
        <v>-7936002.8903900385</v>
      </c>
      <c r="U11" s="394">
        <v>32204184.220538322</v>
      </c>
      <c r="W11" s="51">
        <f t="shared" ref="W11:W40" si="2">H11-U11</f>
        <v>-6447643.2647190578</v>
      </c>
    </row>
    <row r="12" spans="1:23" x14ac:dyDescent="0.25">
      <c r="A12" s="49">
        <v>3</v>
      </c>
      <c r="B12" s="49">
        <f t="shared" ref="B12:B39" si="3">B11+1</f>
        <v>2017</v>
      </c>
      <c r="C12" s="49">
        <v>2020</v>
      </c>
      <c r="D12" s="394">
        <v>28114801.546637621</v>
      </c>
      <c r="E12" s="394">
        <v>-4138693.4356292109</v>
      </c>
      <c r="F12" s="394">
        <v>1294665.4041939231</v>
      </c>
      <c r="G12" s="394">
        <v>1310690.890231027</v>
      </c>
      <c r="H12" s="184">
        <f t="shared" si="0"/>
        <v>26581464.40543336</v>
      </c>
      <c r="J12" s="394">
        <v>28114801.546637621</v>
      </c>
      <c r="K12" s="394">
        <v>-4138693.4356292109</v>
      </c>
      <c r="L12" s="394">
        <v>2232726.5208789618</v>
      </c>
      <c r="M12" s="394">
        <v>3252801.160605995</v>
      </c>
      <c r="N12" s="394">
        <v>985744.36332312995</v>
      </c>
      <c r="O12" s="394">
        <v>1029102.1974229319</v>
      </c>
      <c r="P12" s="394">
        <v>2196091.7027825792</v>
      </c>
      <c r="Q12" s="394">
        <f t="shared" ref="Q12:Q40" si="4">SUM(J12:P12)</f>
        <v>33672574.056022011</v>
      </c>
      <c r="S12" s="51">
        <f t="shared" si="1"/>
        <v>-7091109.6505886503</v>
      </c>
      <c r="U12" s="394">
        <v>32204184.220538322</v>
      </c>
      <c r="W12" s="51">
        <f t="shared" si="2"/>
        <v>-5622719.8151049614</v>
      </c>
    </row>
    <row r="13" spans="1:23" x14ac:dyDescent="0.25">
      <c r="A13" s="49">
        <v>4</v>
      </c>
      <c r="B13" s="49">
        <f t="shared" si="3"/>
        <v>2018</v>
      </c>
      <c r="C13" s="49">
        <v>2021</v>
      </c>
      <c r="D13" s="394">
        <v>28958245.593036748</v>
      </c>
      <c r="E13" s="394">
        <v>-5328567.7983726095</v>
      </c>
      <c r="F13" s="394">
        <v>1778007.1550929879</v>
      </c>
      <c r="G13" s="394">
        <v>2025017.4254069368</v>
      </c>
      <c r="H13" s="184">
        <f t="shared" si="0"/>
        <v>27432702.375164062</v>
      </c>
      <c r="J13" s="394">
        <v>28958245.593036748</v>
      </c>
      <c r="K13" s="394">
        <v>-5328567.7983726095</v>
      </c>
      <c r="L13" s="394">
        <v>2303829.1601742511</v>
      </c>
      <c r="M13" s="394">
        <v>3350385.1954241749</v>
      </c>
      <c r="N13" s="394">
        <v>1015316.6942228239</v>
      </c>
      <c r="O13" s="394">
        <v>1059975.2633456201</v>
      </c>
      <c r="P13" s="394">
        <v>2261974.4538660571</v>
      </c>
      <c r="Q13" s="394">
        <f t="shared" si="4"/>
        <v>33621158.561697066</v>
      </c>
      <c r="S13" s="51">
        <f t="shared" si="1"/>
        <v>-6188456.186533004</v>
      </c>
      <c r="U13" s="394">
        <v>32204184.220538329</v>
      </c>
      <c r="W13" s="51">
        <f t="shared" si="2"/>
        <v>-4771481.8453742675</v>
      </c>
    </row>
    <row r="14" spans="1:23" x14ac:dyDescent="0.25">
      <c r="A14" s="49">
        <v>5</v>
      </c>
      <c r="B14" s="49">
        <f t="shared" si="3"/>
        <v>2019</v>
      </c>
      <c r="C14" s="49">
        <v>2022</v>
      </c>
      <c r="D14" s="394">
        <v>29826992.960827854</v>
      </c>
      <c r="E14" s="394">
        <v>-5488424.8323237868</v>
      </c>
      <c r="F14" s="394">
        <v>2289184.2121822219</v>
      </c>
      <c r="G14" s="394">
        <v>2781023.9308921932</v>
      </c>
      <c r="H14" s="184">
        <f t="shared" si="0"/>
        <v>29408776.271578483</v>
      </c>
      <c r="J14" s="394">
        <v>29826992.960827854</v>
      </c>
      <c r="K14" s="394">
        <v>-5488424.8323237868</v>
      </c>
      <c r="L14" s="394">
        <v>2377267.3466782263</v>
      </c>
      <c r="M14" s="394">
        <v>3450896.7512869001</v>
      </c>
      <c r="N14" s="394">
        <v>1045776.1950495085</v>
      </c>
      <c r="O14" s="394">
        <v>1091774.5212459886</v>
      </c>
      <c r="P14" s="394">
        <v>2329833.6874820385</v>
      </c>
      <c r="Q14" s="394">
        <f t="shared" si="4"/>
        <v>34634116.630246736</v>
      </c>
      <c r="S14" s="51">
        <f t="shared" si="1"/>
        <v>-5225340.3586682528</v>
      </c>
      <c r="U14" s="394">
        <v>32204184.220538322</v>
      </c>
      <c r="W14" s="51">
        <f t="shared" si="2"/>
        <v>-2795407.9489598386</v>
      </c>
    </row>
    <row r="15" spans="1:23" x14ac:dyDescent="0.25">
      <c r="A15" s="49">
        <v>6</v>
      </c>
      <c r="B15" s="49">
        <f t="shared" si="3"/>
        <v>2020</v>
      </c>
      <c r="C15" s="49">
        <v>2023</v>
      </c>
      <c r="D15" s="394">
        <v>30721802.74965268</v>
      </c>
      <c r="E15" s="394">
        <v>-5653077.5772935012</v>
      </c>
      <c r="F15" s="394">
        <v>2357859.7385476884</v>
      </c>
      <c r="G15" s="394">
        <v>3580568.3110236987</v>
      </c>
      <c r="H15" s="184">
        <f t="shared" si="0"/>
        <v>31007153.221930563</v>
      </c>
      <c r="J15" s="394">
        <v>30721802.74965268</v>
      </c>
      <c r="K15" s="394">
        <v>-5653077.5772935012</v>
      </c>
      <c r="L15" s="394">
        <v>2453120.396668667</v>
      </c>
      <c r="M15" s="394">
        <v>3554423.653825507</v>
      </c>
      <c r="N15" s="394">
        <v>1077149.480900994</v>
      </c>
      <c r="O15" s="394">
        <v>1124527.7568833684</v>
      </c>
      <c r="P15" s="394">
        <v>2399728.6981065003</v>
      </c>
      <c r="Q15" s="394">
        <f t="shared" si="4"/>
        <v>35677675.158744216</v>
      </c>
      <c r="S15" s="51">
        <f t="shared" si="1"/>
        <v>-4670521.9368136525</v>
      </c>
      <c r="U15" s="394">
        <v>32204184.220538337</v>
      </c>
      <c r="W15" s="51">
        <f t="shared" si="2"/>
        <v>-1197030.9986077733</v>
      </c>
    </row>
    <row r="16" spans="1:23" x14ac:dyDescent="0.25">
      <c r="A16" s="49">
        <v>7</v>
      </c>
      <c r="B16" s="49">
        <f t="shared" si="3"/>
        <v>2021</v>
      </c>
      <c r="C16" s="49">
        <v>2024</v>
      </c>
      <c r="D16" s="394">
        <v>31643456.83214226</v>
      </c>
      <c r="E16" s="394">
        <v>-5822669.9046123065</v>
      </c>
      <c r="F16" s="394">
        <v>2428595.5307041192</v>
      </c>
      <c r="G16" s="394">
        <v>3687985.3603544091</v>
      </c>
      <c r="H16" s="184">
        <f t="shared" si="0"/>
        <v>31937367.81858848</v>
      </c>
      <c r="J16" s="394">
        <v>31643456.83214226</v>
      </c>
      <c r="K16" s="394">
        <v>-5822669.9046123065</v>
      </c>
      <c r="L16" s="394">
        <v>2531470.3920740169</v>
      </c>
      <c r="M16" s="394">
        <v>3661056.3634402719</v>
      </c>
      <c r="N16" s="394">
        <v>1109463.9653280238</v>
      </c>
      <c r="O16" s="394">
        <v>1158263.5895898694</v>
      </c>
      <c r="P16" s="394">
        <v>2471720.5590496948</v>
      </c>
      <c r="Q16" s="394">
        <f t="shared" si="4"/>
        <v>36752761.79701183</v>
      </c>
      <c r="S16" s="51">
        <f t="shared" si="1"/>
        <v>-4815393.9784233496</v>
      </c>
      <c r="U16" s="394">
        <v>32204184.220538326</v>
      </c>
      <c r="W16" s="51">
        <f t="shared" si="2"/>
        <v>-266816.40194984525</v>
      </c>
    </row>
    <row r="17" spans="1:23" x14ac:dyDescent="0.25">
      <c r="A17" s="49">
        <v>8</v>
      </c>
      <c r="B17" s="49">
        <f t="shared" si="3"/>
        <v>2022</v>
      </c>
      <c r="C17" s="49">
        <v>2025</v>
      </c>
      <c r="D17" s="394">
        <v>32592760.537106529</v>
      </c>
      <c r="E17" s="394">
        <v>-5997350.001750675</v>
      </c>
      <c r="F17" s="394">
        <v>2501453.3966252427</v>
      </c>
      <c r="G17" s="394">
        <v>3798624.9211650416</v>
      </c>
      <c r="H17" s="184">
        <f t="shared" si="0"/>
        <v>32895488.85314614</v>
      </c>
      <c r="J17" s="394">
        <v>32592760.537106529</v>
      </c>
      <c r="K17" s="394">
        <v>-5997350.001750675</v>
      </c>
      <c r="L17" s="394">
        <v>2612402.2779063452</v>
      </c>
      <c r="M17" s="394">
        <v>3770888.0543434811</v>
      </c>
      <c r="N17" s="394">
        <v>1142747.8842878649</v>
      </c>
      <c r="O17" s="394">
        <v>1193011.4972775658</v>
      </c>
      <c r="P17" s="394">
        <v>2545872.1758211865</v>
      </c>
      <c r="Q17" s="394">
        <f t="shared" si="4"/>
        <v>37860332.424992301</v>
      </c>
      <c r="S17" s="51">
        <f t="shared" si="1"/>
        <v>-4964843.571846161</v>
      </c>
      <c r="U17" s="394">
        <v>32204184.220538326</v>
      </c>
      <c r="W17" s="51">
        <f t="shared" si="2"/>
        <v>691304.63260781392</v>
      </c>
    </row>
    <row r="18" spans="1:23" x14ac:dyDescent="0.25">
      <c r="A18" s="49">
        <v>9</v>
      </c>
      <c r="B18" s="49">
        <f t="shared" si="3"/>
        <v>2023</v>
      </c>
      <c r="C18" s="49">
        <v>2026</v>
      </c>
      <c r="D18" s="394">
        <v>33570543.353219725</v>
      </c>
      <c r="E18" s="394">
        <v>-6177270.5018031951</v>
      </c>
      <c r="F18" s="394">
        <v>2576496.9985239999</v>
      </c>
      <c r="G18" s="394">
        <v>3912583.6687999931</v>
      </c>
      <c r="H18" s="184">
        <f t="shared" si="0"/>
        <v>33882353.51874052</v>
      </c>
      <c r="J18" s="394">
        <v>33570543.353219725</v>
      </c>
      <c r="K18" s="394">
        <v>-6177270.5018031951</v>
      </c>
      <c r="L18" s="394">
        <v>2696003.9630998312</v>
      </c>
      <c r="M18" s="394">
        <v>3884014.6959737856</v>
      </c>
      <c r="N18" s="394">
        <v>1177030.3208165006</v>
      </c>
      <c r="O18" s="394">
        <v>1228801.8421958929</v>
      </c>
      <c r="P18" s="394">
        <v>2622248.3410958224</v>
      </c>
      <c r="Q18" s="394">
        <f t="shared" si="4"/>
        <v>39001372.014598355</v>
      </c>
      <c r="S18" s="51">
        <f t="shared" si="1"/>
        <v>-5119018.4958578348</v>
      </c>
      <c r="U18" s="394">
        <v>32204184.220538333</v>
      </c>
      <c r="W18" s="51">
        <f t="shared" si="2"/>
        <v>1678169.2982021868</v>
      </c>
    </row>
    <row r="19" spans="1:23" x14ac:dyDescent="0.25">
      <c r="A19" s="49">
        <v>10</v>
      </c>
      <c r="B19" s="49">
        <f t="shared" si="3"/>
        <v>2024</v>
      </c>
      <c r="C19" s="49">
        <v>2027</v>
      </c>
      <c r="D19" s="394">
        <v>34577659.65381632</v>
      </c>
      <c r="E19" s="394">
        <v>-6362588.6168572912</v>
      </c>
      <c r="F19" s="394">
        <v>2653791.9084797199</v>
      </c>
      <c r="G19" s="394">
        <v>4029961.1788639924</v>
      </c>
      <c r="H19" s="184">
        <f t="shared" si="0"/>
        <v>34898824.124302745</v>
      </c>
      <c r="J19" s="394">
        <v>34577659.65381632</v>
      </c>
      <c r="K19" s="394">
        <v>-6362588.6168572912</v>
      </c>
      <c r="L19" s="394">
        <v>2782366.4248720105</v>
      </c>
      <c r="M19" s="394">
        <v>4000535.1368529997</v>
      </c>
      <c r="N19" s="394">
        <v>1212341.2304409959</v>
      </c>
      <c r="O19" s="394">
        <v>1265665.8974617696</v>
      </c>
      <c r="P19" s="394">
        <v>2700915.791328697</v>
      </c>
      <c r="Q19" s="394">
        <f t="shared" si="4"/>
        <v>40176895.51791551</v>
      </c>
      <c r="S19" s="51">
        <f t="shared" si="1"/>
        <v>-5278071.3936127648</v>
      </c>
      <c r="U19" s="394">
        <v>32204184.220538337</v>
      </c>
      <c r="W19" s="51">
        <f t="shared" si="2"/>
        <v>2694639.9037644081</v>
      </c>
    </row>
    <row r="20" spans="1:23" x14ac:dyDescent="0.25">
      <c r="A20" s="49">
        <v>11</v>
      </c>
      <c r="B20" s="49">
        <f t="shared" si="3"/>
        <v>2025</v>
      </c>
      <c r="C20" s="49">
        <v>2028</v>
      </c>
      <c r="D20" s="394">
        <v>35614989.443430804</v>
      </c>
      <c r="E20" s="394">
        <v>-6553466.2753630104</v>
      </c>
      <c r="F20" s="394">
        <v>2733405.6657341113</v>
      </c>
      <c r="G20" s="394">
        <v>4150860.0142299123</v>
      </c>
      <c r="H20" s="184">
        <f t="shared" si="0"/>
        <v>35945788.848031819</v>
      </c>
      <c r="J20" s="394">
        <v>35614989.443430804</v>
      </c>
      <c r="K20" s="394">
        <v>-6553466.2753630104</v>
      </c>
      <c r="L20" s="394">
        <v>2871583.8167290245</v>
      </c>
      <c r="M20" s="394">
        <v>4120551.1909585912</v>
      </c>
      <c r="N20" s="394">
        <v>1248711.4673542259</v>
      </c>
      <c r="O20" s="394">
        <v>1303635.8743856228</v>
      </c>
      <c r="P20" s="394">
        <v>2781943.2650685585</v>
      </c>
      <c r="Q20" s="394">
        <f t="shared" si="4"/>
        <v>41387948.78256382</v>
      </c>
      <c r="S20" s="51">
        <f t="shared" si="1"/>
        <v>-5442159.9345320016</v>
      </c>
      <c r="U20" s="394">
        <v>32204184.220538341</v>
      </c>
      <c r="W20" s="51">
        <f t="shared" si="2"/>
        <v>3741604.6274934784</v>
      </c>
    </row>
    <row r="21" spans="1:23" x14ac:dyDescent="0.25">
      <c r="A21" s="49">
        <v>12</v>
      </c>
      <c r="B21" s="49">
        <f t="shared" si="3"/>
        <v>2026</v>
      </c>
      <c r="C21" s="49">
        <v>2029</v>
      </c>
      <c r="D21" s="394">
        <v>36683439.126733735</v>
      </c>
      <c r="E21" s="394">
        <v>-6750070.2636238998</v>
      </c>
      <c r="F21" s="394">
        <v>2815407.8357061348</v>
      </c>
      <c r="G21" s="394">
        <v>4275385.8146568099</v>
      </c>
      <c r="H21" s="184">
        <f t="shared" si="0"/>
        <v>37024162.513472781</v>
      </c>
      <c r="J21" s="394">
        <v>36683439.126733735</v>
      </c>
      <c r="K21" s="394">
        <v>-6750070.2636238998</v>
      </c>
      <c r="L21" s="394">
        <v>2963753.5802403227</v>
      </c>
      <c r="M21" s="394">
        <v>4244167.7266873484</v>
      </c>
      <c r="N21" s="394">
        <v>1286172.8113748531</v>
      </c>
      <c r="O21" s="394">
        <v>1342744.9506171918</v>
      </c>
      <c r="P21" s="394">
        <v>2865401.5630206158</v>
      </c>
      <c r="Q21" s="394">
        <f t="shared" si="4"/>
        <v>42635609.49505017</v>
      </c>
      <c r="S21" s="51">
        <f t="shared" si="1"/>
        <v>-5611446.9815773889</v>
      </c>
      <c r="U21" s="394">
        <v>32204184.220538341</v>
      </c>
      <c r="W21" s="51">
        <f t="shared" si="2"/>
        <v>4819978.2929344401</v>
      </c>
    </row>
    <row r="22" spans="1:23" x14ac:dyDescent="0.25">
      <c r="A22" s="49">
        <v>13</v>
      </c>
      <c r="B22" s="49">
        <f t="shared" si="3"/>
        <v>2027</v>
      </c>
      <c r="C22" s="49">
        <v>2030</v>
      </c>
      <c r="D22" s="394">
        <v>37783942.300535761</v>
      </c>
      <c r="E22" s="394">
        <v>-6952572.3715326162</v>
      </c>
      <c r="F22" s="394">
        <v>2899870.0707773184</v>
      </c>
      <c r="G22" s="394">
        <v>4403647.3890965143</v>
      </c>
      <c r="H22" s="184">
        <f t="shared" si="0"/>
        <v>38134887.388876975</v>
      </c>
      <c r="J22" s="394">
        <v>37783942.300535761</v>
      </c>
      <c r="K22" s="394">
        <v>-6952572.3715326162</v>
      </c>
      <c r="L22" s="394">
        <v>3058976.5607125764</v>
      </c>
      <c r="M22" s="394">
        <v>4371492.7584879687</v>
      </c>
      <c r="N22" s="394">
        <v>1324757.9957160987</v>
      </c>
      <c r="O22" s="394">
        <v>1383027.2991357076</v>
      </c>
      <c r="P22" s="394">
        <v>2951363.6099112341</v>
      </c>
      <c r="Q22" s="394">
        <f t="shared" si="4"/>
        <v>43920988.15296673</v>
      </c>
      <c r="S22" s="51">
        <f t="shared" si="1"/>
        <v>-5786100.7640897557</v>
      </c>
      <c r="U22" s="394">
        <v>32204184.220538329</v>
      </c>
      <c r="W22" s="51">
        <f t="shared" si="2"/>
        <v>5930703.1683386452</v>
      </c>
    </row>
    <row r="23" spans="1:23" x14ac:dyDescent="0.25">
      <c r="A23" s="49">
        <v>14</v>
      </c>
      <c r="B23" s="49">
        <f t="shared" si="3"/>
        <v>2028</v>
      </c>
      <c r="C23" s="49">
        <v>2031</v>
      </c>
      <c r="D23" s="394">
        <v>38917460.569551833</v>
      </c>
      <c r="E23" s="394">
        <v>-7161149.5426785955</v>
      </c>
      <c r="F23" s="394">
        <v>2986866.1729006381</v>
      </c>
      <c r="G23" s="394">
        <v>4535756.8107694089</v>
      </c>
      <c r="H23" s="184">
        <f t="shared" si="0"/>
        <v>39278934.010543287</v>
      </c>
      <c r="J23" s="394">
        <v>38917460.569551833</v>
      </c>
      <c r="K23" s="394">
        <v>-7161149.5426785955</v>
      </c>
      <c r="L23" s="394">
        <v>3157357.1268970608</v>
      </c>
      <c r="M23" s="394">
        <v>4502637.5412426079</v>
      </c>
      <c r="N23" s="394">
        <v>1364500.7355875818</v>
      </c>
      <c r="O23" s="394">
        <v>1424518.118109779</v>
      </c>
      <c r="P23" s="394">
        <v>3039904.5182085712</v>
      </c>
      <c r="Q23" s="394">
        <f t="shared" si="4"/>
        <v>45245229.066918835</v>
      </c>
      <c r="S23" s="51">
        <f t="shared" si="1"/>
        <v>-5966295.0563755482</v>
      </c>
      <c r="U23" s="394">
        <v>32204184.220538337</v>
      </c>
      <c r="W23" s="51">
        <f t="shared" si="2"/>
        <v>7074749.79000495</v>
      </c>
    </row>
    <row r="24" spans="1:23" x14ac:dyDescent="0.25">
      <c r="A24" s="49">
        <v>15</v>
      </c>
      <c r="B24" s="49">
        <f t="shared" si="3"/>
        <v>2029</v>
      </c>
      <c r="C24" s="49">
        <v>2032</v>
      </c>
      <c r="D24" s="394">
        <v>40084984.386638395</v>
      </c>
      <c r="E24" s="394">
        <v>-7375984.0289589539</v>
      </c>
      <c r="F24" s="394">
        <v>3076472.1580876573</v>
      </c>
      <c r="G24" s="394">
        <v>4671829.5150924912</v>
      </c>
      <c r="H24" s="184">
        <f t="shared" si="0"/>
        <v>40457302.03085959</v>
      </c>
      <c r="J24" s="394">
        <v>40084984.386638395</v>
      </c>
      <c r="K24" s="394">
        <v>-7375984.0289589539</v>
      </c>
      <c r="L24" s="394">
        <v>3259003.294869388</v>
      </c>
      <c r="M24" s="394">
        <v>4637716.6674798876</v>
      </c>
      <c r="N24" s="394">
        <v>1405435.7576552099</v>
      </c>
      <c r="O24" s="394">
        <v>1467253.661653073</v>
      </c>
      <c r="P24" s="394">
        <v>3131101.6537548294</v>
      </c>
      <c r="Q24" s="394">
        <f t="shared" si="4"/>
        <v>46609511.393091828</v>
      </c>
      <c r="S24" s="51">
        <f t="shared" si="1"/>
        <v>-6152209.3622322381</v>
      </c>
      <c r="U24" s="394">
        <v>32204184.220538344</v>
      </c>
      <c r="W24" s="51">
        <f t="shared" si="2"/>
        <v>8253117.8103212453</v>
      </c>
    </row>
    <row r="25" spans="1:23" x14ac:dyDescent="0.25">
      <c r="A25" s="49">
        <v>16</v>
      </c>
      <c r="B25" s="49">
        <f t="shared" si="3"/>
        <v>2030</v>
      </c>
      <c r="C25" s="49">
        <v>2033</v>
      </c>
      <c r="D25" s="394">
        <v>41287533.918237552</v>
      </c>
      <c r="E25" s="394">
        <v>-7597263.549827721</v>
      </c>
      <c r="F25" s="394">
        <v>3168766.3228302873</v>
      </c>
      <c r="G25" s="394">
        <v>4811984.4005452665</v>
      </c>
      <c r="H25" s="184">
        <f t="shared" si="0"/>
        <v>41671021.091785386</v>
      </c>
      <c r="J25" s="394">
        <v>41287533.918237552</v>
      </c>
      <c r="K25" s="394">
        <v>-7597263.549827721</v>
      </c>
      <c r="L25" s="394">
        <v>3364026.8562252889</v>
      </c>
      <c r="M25" s="394">
        <v>4776848.1675042855</v>
      </c>
      <c r="N25" s="394">
        <v>1447598.8303848659</v>
      </c>
      <c r="O25" s="394">
        <v>1511271.271502665</v>
      </c>
      <c r="P25" s="394">
        <v>3225034.7033674736</v>
      </c>
      <c r="Q25" s="394">
        <f t="shared" si="4"/>
        <v>48015050.197394408</v>
      </c>
      <c r="S25" s="51">
        <f t="shared" si="1"/>
        <v>-6344029.1056090221</v>
      </c>
      <c r="U25" s="394">
        <v>32204184.220538341</v>
      </c>
      <c r="W25" s="51">
        <f t="shared" si="2"/>
        <v>9466836.8712470457</v>
      </c>
    </row>
    <row r="26" spans="1:23" x14ac:dyDescent="0.25">
      <c r="A26" s="49">
        <v>17</v>
      </c>
      <c r="B26" s="49">
        <f t="shared" si="3"/>
        <v>2031</v>
      </c>
      <c r="C26" s="49">
        <v>2034</v>
      </c>
      <c r="D26" s="394">
        <v>42526159.935784683</v>
      </c>
      <c r="E26" s="394">
        <v>-7825181.4563225526</v>
      </c>
      <c r="F26" s="394">
        <v>3263829.3125151955</v>
      </c>
      <c r="G26" s="394">
        <v>4956343.9325616248</v>
      </c>
      <c r="H26" s="184">
        <f t="shared" si="0"/>
        <v>42921151.724538952</v>
      </c>
      <c r="J26" s="394">
        <v>42526159.935784683</v>
      </c>
      <c r="K26" s="394">
        <v>-7825181.4563225526</v>
      </c>
      <c r="L26" s="394">
        <v>3472543.5107411342</v>
      </c>
      <c r="M26" s="394">
        <v>4920153.6125294128</v>
      </c>
      <c r="N26" s="394">
        <v>1491026.795296412</v>
      </c>
      <c r="O26" s="394">
        <v>1556609.4096477451</v>
      </c>
      <c r="P26" s="394">
        <v>3321785.744468498</v>
      </c>
      <c r="Q26" s="394">
        <f t="shared" si="4"/>
        <v>49463097.552145332</v>
      </c>
      <c r="S26" s="51">
        <f t="shared" si="1"/>
        <v>-6541945.82760638</v>
      </c>
      <c r="U26" s="394">
        <v>32204184.220538348</v>
      </c>
      <c r="W26" s="51">
        <f t="shared" si="2"/>
        <v>10716967.504000604</v>
      </c>
    </row>
    <row r="27" spans="1:23" x14ac:dyDescent="0.25">
      <c r="A27" s="49">
        <v>18</v>
      </c>
      <c r="B27" s="49">
        <f t="shared" si="3"/>
        <v>2032</v>
      </c>
      <c r="C27" s="49">
        <v>2035</v>
      </c>
      <c r="D27" s="394"/>
      <c r="E27" s="394">
        <v>-8059936.9000122296</v>
      </c>
      <c r="F27" s="394">
        <v>3361744.1918906514</v>
      </c>
      <c r="G27" s="394">
        <v>5105034.2505384721</v>
      </c>
      <c r="H27" s="184">
        <f t="shared" si="0"/>
        <v>406841.54241689388</v>
      </c>
      <c r="J27" s="394"/>
      <c r="K27" s="394">
        <v>-8059936.9000122296</v>
      </c>
      <c r="L27" s="394">
        <v>3584673.0036529941</v>
      </c>
      <c r="M27" s="394">
        <v>5067758.2209052974</v>
      </c>
      <c r="N27" s="394">
        <v>1535757.5991553045</v>
      </c>
      <c r="O27" s="394">
        <v>1603307.6919371777</v>
      </c>
      <c r="P27" s="394">
        <v>3421439.3168025538</v>
      </c>
      <c r="Q27" s="394">
        <f t="shared" si="4"/>
        <v>7152998.9324410986</v>
      </c>
      <c r="S27" s="51">
        <f t="shared" si="1"/>
        <v>-6746157.3900242047</v>
      </c>
      <c r="U27" s="394">
        <v>-8059936.9000122296</v>
      </c>
      <c r="W27" s="51">
        <f t="shared" si="2"/>
        <v>8466778.4424291234</v>
      </c>
    </row>
    <row r="28" spans="1:23" x14ac:dyDescent="0.25">
      <c r="A28" s="49">
        <v>19</v>
      </c>
      <c r="B28" s="49">
        <f t="shared" si="3"/>
        <v>2033</v>
      </c>
      <c r="C28" s="49">
        <v>2036</v>
      </c>
      <c r="D28" s="394"/>
      <c r="E28" s="394">
        <v>-8301735.0070125964</v>
      </c>
      <c r="F28" s="394">
        <v>3462596.5176473707</v>
      </c>
      <c r="G28" s="394">
        <v>5258185.2780546267</v>
      </c>
      <c r="H28" s="184">
        <f t="shared" si="0"/>
        <v>419046.788689401</v>
      </c>
      <c r="J28" s="394"/>
      <c r="K28" s="394">
        <v>-8301735.0070125964</v>
      </c>
      <c r="L28" s="394">
        <v>3700539.2677134224</v>
      </c>
      <c r="M28" s="394">
        <v>5219790.967532455</v>
      </c>
      <c r="N28" s="394">
        <v>1581830.3271299638</v>
      </c>
      <c r="O28" s="394">
        <v>1651406.9226952931</v>
      </c>
      <c r="P28" s="394">
        <v>3524082.4963066294</v>
      </c>
      <c r="Q28" s="394">
        <f t="shared" si="4"/>
        <v>7375914.9743651673</v>
      </c>
      <c r="S28" s="51">
        <f t="shared" si="1"/>
        <v>-6956868.1856757663</v>
      </c>
      <c r="U28" s="394">
        <v>-8301735.0070125964</v>
      </c>
      <c r="W28" s="51">
        <f t="shared" si="2"/>
        <v>8720781.7957019974</v>
      </c>
    </row>
    <row r="29" spans="1:23" x14ac:dyDescent="0.25">
      <c r="A29" s="49">
        <v>20</v>
      </c>
      <c r="B29" s="49">
        <f t="shared" si="3"/>
        <v>2034</v>
      </c>
      <c r="C29" s="49">
        <v>2037</v>
      </c>
      <c r="D29" s="394"/>
      <c r="E29" s="394">
        <v>-8550787.0572229736</v>
      </c>
      <c r="F29" s="394">
        <v>3566474.4131767917</v>
      </c>
      <c r="G29" s="394">
        <v>5415930.8363962658</v>
      </c>
      <c r="H29" s="184">
        <f t="shared" si="0"/>
        <v>431618.19235008396</v>
      </c>
      <c r="J29" s="394"/>
      <c r="K29" s="394">
        <v>-8550787.0572229736</v>
      </c>
      <c r="L29" s="394">
        <v>3820270.5701906648</v>
      </c>
      <c r="M29" s="394">
        <v>5376384.6965584271</v>
      </c>
      <c r="N29" s="394">
        <v>1629285.2369438626</v>
      </c>
      <c r="O29" s="394">
        <v>1700949.1303761513</v>
      </c>
      <c r="P29" s="394">
        <v>3629804.9711958282</v>
      </c>
      <c r="Q29" s="394">
        <f t="shared" si="4"/>
        <v>7605907.5480419602</v>
      </c>
      <c r="S29" s="51">
        <f t="shared" si="1"/>
        <v>-7174289.3556918763</v>
      </c>
      <c r="U29" s="394">
        <v>-8550787.0572229736</v>
      </c>
      <c r="W29" s="51">
        <f t="shared" si="2"/>
        <v>8982405.2495730575</v>
      </c>
    </row>
    <row r="30" spans="1:23" x14ac:dyDescent="0.25">
      <c r="A30" s="49">
        <v>21</v>
      </c>
      <c r="B30" s="49">
        <f t="shared" si="3"/>
        <v>2035</v>
      </c>
      <c r="C30" s="49">
        <v>2038</v>
      </c>
      <c r="D30" s="394"/>
      <c r="E30" s="394">
        <v>-8807310.6689396612</v>
      </c>
      <c r="F30" s="394">
        <v>3673468.6455720956</v>
      </c>
      <c r="G30" s="394">
        <v>5578408.7614881536</v>
      </c>
      <c r="H30" s="184">
        <f t="shared" si="0"/>
        <v>444566.73812058847</v>
      </c>
      <c r="J30" s="394"/>
      <c r="K30" s="394">
        <v>-8807310.6689396612</v>
      </c>
      <c r="L30" s="394"/>
      <c r="M30" s="394"/>
      <c r="N30" s="394"/>
      <c r="O30" s="394"/>
      <c r="P30" s="394"/>
      <c r="Q30" s="394">
        <f t="shared" si="4"/>
        <v>-8807310.6689396612</v>
      </c>
      <c r="S30" s="51">
        <f t="shared" si="1"/>
        <v>9251877.4070602506</v>
      </c>
      <c r="U30" s="394">
        <v>-8807310.6689396612</v>
      </c>
      <c r="W30" s="51">
        <f t="shared" si="2"/>
        <v>9251877.4070602506</v>
      </c>
    </row>
    <row r="31" spans="1:23" x14ac:dyDescent="0.25">
      <c r="A31" s="49">
        <v>22</v>
      </c>
      <c r="B31" s="49">
        <f t="shared" si="3"/>
        <v>2036</v>
      </c>
      <c r="C31" s="49">
        <v>2039</v>
      </c>
      <c r="D31" s="394"/>
      <c r="E31" s="394">
        <v>-9071529.989007853</v>
      </c>
      <c r="F31" s="394">
        <v>3783672.7049392578</v>
      </c>
      <c r="G31" s="394">
        <v>5745761.0243327981</v>
      </c>
      <c r="H31" s="184">
        <f t="shared" si="0"/>
        <v>457903.74026420247</v>
      </c>
      <c r="J31" s="394"/>
      <c r="K31" s="394">
        <v>-9071529.989007853</v>
      </c>
      <c r="L31" s="394"/>
      <c r="M31" s="394"/>
      <c r="N31" s="394"/>
      <c r="O31" s="394"/>
      <c r="P31" s="394"/>
      <c r="Q31" s="394">
        <f t="shared" si="4"/>
        <v>-9071529.989007853</v>
      </c>
      <c r="S31" s="51">
        <f t="shared" si="1"/>
        <v>9529433.7292720564</v>
      </c>
      <c r="U31" s="394">
        <v>-9071529.989007853</v>
      </c>
      <c r="W31" s="51">
        <f t="shared" si="2"/>
        <v>9529433.7292720564</v>
      </c>
    </row>
    <row r="32" spans="1:23" x14ac:dyDescent="0.25">
      <c r="A32" s="49">
        <v>23</v>
      </c>
      <c r="B32" s="49">
        <f t="shared" si="3"/>
        <v>2037</v>
      </c>
      <c r="C32" s="49">
        <v>2040</v>
      </c>
      <c r="D32" s="394"/>
      <c r="E32" s="394">
        <v>-9343675.8886780888</v>
      </c>
      <c r="F32" s="394">
        <v>3897182.8860874362</v>
      </c>
      <c r="G32" s="394">
        <v>5918133.8550627809</v>
      </c>
      <c r="H32" s="184">
        <f t="shared" si="0"/>
        <v>471640.85247212835</v>
      </c>
      <c r="J32" s="394"/>
      <c r="K32" s="394">
        <v>-9343675.8886780888</v>
      </c>
      <c r="L32" s="394"/>
      <c r="M32" s="394"/>
      <c r="N32" s="394"/>
      <c r="O32" s="394"/>
      <c r="P32" s="394"/>
      <c r="Q32" s="394">
        <f t="shared" si="4"/>
        <v>-9343675.8886780888</v>
      </c>
      <c r="S32" s="51">
        <f t="shared" si="1"/>
        <v>9815316.7411502171</v>
      </c>
      <c r="U32" s="394">
        <v>-9343675.8886780888</v>
      </c>
      <c r="W32" s="51">
        <f t="shared" si="2"/>
        <v>9815316.7411502171</v>
      </c>
    </row>
    <row r="33" spans="1:23" x14ac:dyDescent="0.25">
      <c r="A33" s="49">
        <v>24</v>
      </c>
      <c r="B33" s="49">
        <f t="shared" si="3"/>
        <v>2038</v>
      </c>
      <c r="C33" s="49">
        <v>2041</v>
      </c>
      <c r="D33" s="394"/>
      <c r="E33" s="394">
        <v>-9623986.1653384306</v>
      </c>
      <c r="F33" s="394">
        <v>4014098.3726700596</v>
      </c>
      <c r="G33" s="394">
        <v>6095677.8707146654</v>
      </c>
      <c r="H33" s="184">
        <f t="shared" si="0"/>
        <v>485790.07804629486</v>
      </c>
      <c r="J33" s="394"/>
      <c r="K33" s="394">
        <v>-9623986.1653384306</v>
      </c>
      <c r="L33" s="394"/>
      <c r="M33" s="394"/>
      <c r="N33" s="394"/>
      <c r="O33" s="394"/>
      <c r="P33" s="394"/>
      <c r="Q33" s="394">
        <f t="shared" si="4"/>
        <v>-9623986.1653384306</v>
      </c>
      <c r="S33" s="51">
        <f t="shared" si="1"/>
        <v>10109776.243384726</v>
      </c>
      <c r="U33" s="394">
        <v>-9623986.1653384306</v>
      </c>
      <c r="W33" s="51">
        <f t="shared" si="2"/>
        <v>10109776.243384726</v>
      </c>
    </row>
    <row r="34" spans="1:23" x14ac:dyDescent="0.25">
      <c r="A34" s="49">
        <v>25</v>
      </c>
      <c r="B34" s="49">
        <f t="shared" si="3"/>
        <v>2039</v>
      </c>
      <c r="C34" s="49">
        <v>2042</v>
      </c>
      <c r="D34" s="394"/>
      <c r="E34" s="394">
        <v>-9912705.750298582</v>
      </c>
      <c r="F34" s="394">
        <v>4134521.3238501605</v>
      </c>
      <c r="G34" s="394">
        <v>6278548.2068361053</v>
      </c>
      <c r="H34" s="184">
        <f t="shared" si="0"/>
        <v>500363.78038768377</v>
      </c>
      <c r="J34" s="394"/>
      <c r="K34" s="394">
        <v>-9912705.750298582</v>
      </c>
      <c r="L34" s="394"/>
      <c r="M34" s="394"/>
      <c r="N34" s="394"/>
      <c r="O34" s="394"/>
      <c r="P34" s="394"/>
      <c r="Q34" s="394">
        <f t="shared" si="4"/>
        <v>-9912705.750298582</v>
      </c>
      <c r="S34" s="51">
        <f t="shared" si="1"/>
        <v>10413069.530686267</v>
      </c>
      <c r="U34" s="394">
        <v>-9912705.750298582</v>
      </c>
      <c r="W34" s="51">
        <f t="shared" si="2"/>
        <v>10413069.530686267</v>
      </c>
    </row>
    <row r="35" spans="1:23" x14ac:dyDescent="0.25">
      <c r="A35" s="49">
        <v>26</v>
      </c>
      <c r="B35" s="49">
        <f t="shared" si="3"/>
        <v>2040</v>
      </c>
      <c r="C35" s="49">
        <v>2043</v>
      </c>
      <c r="D35" s="394"/>
      <c r="E35" s="394">
        <v>-8168069.5382460346</v>
      </c>
      <c r="F35" s="394">
        <v>4258556.9635656653</v>
      </c>
      <c r="G35" s="394">
        <v>6466904.6530411877</v>
      </c>
      <c r="H35" s="184">
        <f t="shared" si="0"/>
        <v>2557392.0783608183</v>
      </c>
      <c r="J35" s="394"/>
      <c r="K35" s="394">
        <v>-8168069.5382460346</v>
      </c>
      <c r="L35" s="394"/>
      <c r="M35" s="394"/>
      <c r="N35" s="394"/>
      <c r="O35" s="394"/>
      <c r="P35" s="394"/>
      <c r="Q35" s="394">
        <f t="shared" si="4"/>
        <v>-8168069.5382460346</v>
      </c>
      <c r="S35" s="51">
        <f t="shared" si="1"/>
        <v>10725461.616606854</v>
      </c>
      <c r="U35" s="394">
        <v>-8168069.5382460346</v>
      </c>
      <c r="W35" s="51">
        <f t="shared" si="2"/>
        <v>10725461.616606854</v>
      </c>
    </row>
    <row r="36" spans="1:23" x14ac:dyDescent="0.25">
      <c r="A36" s="49">
        <v>27</v>
      </c>
      <c r="B36" s="49">
        <f t="shared" si="3"/>
        <v>2041</v>
      </c>
      <c r="C36" s="49">
        <v>2044</v>
      </c>
      <c r="D36" s="394"/>
      <c r="E36" s="394">
        <v>-6309833.7182950601</v>
      </c>
      <c r="F36" s="394">
        <v>3509050.9379781093</v>
      </c>
      <c r="G36" s="394">
        <v>6660911.7926324233</v>
      </c>
      <c r="H36" s="184">
        <f t="shared" si="0"/>
        <v>3860129.0123154726</v>
      </c>
      <c r="J36" s="394"/>
      <c r="K36" s="394">
        <v>-6309833.7182950601</v>
      </c>
      <c r="L36" s="394"/>
      <c r="M36" s="394"/>
      <c r="N36" s="394"/>
      <c r="O36" s="394"/>
      <c r="P36" s="394"/>
      <c r="Q36" s="394">
        <f t="shared" si="4"/>
        <v>-6309833.7182950601</v>
      </c>
      <c r="S36" s="51">
        <f t="shared" si="1"/>
        <v>10169962.730610533</v>
      </c>
      <c r="U36" s="394">
        <v>-6309833.7182950601</v>
      </c>
      <c r="W36" s="51">
        <f t="shared" si="2"/>
        <v>10169962.730610533</v>
      </c>
    </row>
    <row r="37" spans="1:23" x14ac:dyDescent="0.25">
      <c r="A37" s="49">
        <v>28</v>
      </c>
      <c r="B37" s="49">
        <f t="shared" si="3"/>
        <v>2042</v>
      </c>
      <c r="C37" s="49">
        <v>2045</v>
      </c>
      <c r="D37" s="394"/>
      <c r="E37" s="394">
        <v>-4332752.4865626087</v>
      </c>
      <c r="F37" s="394">
        <v>2710741.8495880882</v>
      </c>
      <c r="G37" s="394">
        <v>5488591.3171291174</v>
      </c>
      <c r="H37" s="184">
        <f t="shared" si="0"/>
        <v>3866580.6801545969</v>
      </c>
      <c r="J37" s="394"/>
      <c r="K37" s="394">
        <v>-4332752.4865626087</v>
      </c>
      <c r="L37" s="394"/>
      <c r="M37" s="394"/>
      <c r="N37" s="394"/>
      <c r="O37" s="394"/>
      <c r="P37" s="394"/>
      <c r="Q37" s="394">
        <f t="shared" si="4"/>
        <v>-4332752.4865626087</v>
      </c>
      <c r="S37" s="51">
        <f t="shared" si="1"/>
        <v>8199333.1667172052</v>
      </c>
      <c r="U37" s="394">
        <v>-4332752.4865626087</v>
      </c>
      <c r="W37" s="51">
        <f t="shared" si="2"/>
        <v>8199333.1667172052</v>
      </c>
    </row>
    <row r="38" spans="1:23" x14ac:dyDescent="0.25">
      <c r="A38" s="49">
        <v>29</v>
      </c>
      <c r="B38" s="49">
        <f t="shared" si="3"/>
        <v>2043</v>
      </c>
      <c r="C38" s="49">
        <v>2046</v>
      </c>
      <c r="D38" s="394"/>
      <c r="E38" s="394">
        <v>-2231367.530579743</v>
      </c>
      <c r="F38" s="394">
        <v>1861376.0700504878</v>
      </c>
      <c r="G38" s="394">
        <v>4239936.7924822429</v>
      </c>
      <c r="H38" s="184">
        <f t="shared" si="0"/>
        <v>3869945.3319529877</v>
      </c>
      <c r="J38" s="394"/>
      <c r="K38" s="394">
        <v>-2231367.530579743</v>
      </c>
      <c r="L38" s="394"/>
      <c r="M38" s="394"/>
      <c r="N38" s="394"/>
      <c r="O38" s="394"/>
      <c r="P38" s="394"/>
      <c r="Q38" s="394">
        <f t="shared" si="4"/>
        <v>-2231367.530579743</v>
      </c>
      <c r="S38" s="51">
        <f t="shared" si="1"/>
        <v>6101312.8625327311</v>
      </c>
      <c r="U38" s="394">
        <v>-2231367.530579743</v>
      </c>
      <c r="W38" s="51">
        <f t="shared" si="2"/>
        <v>6101312.8625327311</v>
      </c>
    </row>
    <row r="39" spans="1:23" x14ac:dyDescent="0.25">
      <c r="A39" s="49">
        <v>30</v>
      </c>
      <c r="B39" s="49">
        <f t="shared" si="3"/>
        <v>2044</v>
      </c>
      <c r="C39" s="49">
        <v>2047</v>
      </c>
      <c r="D39" s="394"/>
      <c r="E39" s="394"/>
      <c r="F39" s="394">
        <v>958608.67607600102</v>
      </c>
      <c r="G39" s="394">
        <v>2911423.2641711403</v>
      </c>
      <c r="H39" s="184">
        <f t="shared" si="0"/>
        <v>3870031.9402471413</v>
      </c>
      <c r="J39" s="394"/>
      <c r="K39" s="394"/>
      <c r="L39" s="394"/>
      <c r="M39" s="394"/>
      <c r="N39" s="394"/>
      <c r="O39" s="394"/>
      <c r="P39" s="394"/>
      <c r="Q39" s="394">
        <f t="shared" si="4"/>
        <v>0</v>
      </c>
      <c r="S39" s="51">
        <f t="shared" si="1"/>
        <v>3870031.9402471413</v>
      </c>
      <c r="U39" s="394">
        <v>0</v>
      </c>
      <c r="W39" s="51">
        <f t="shared" si="2"/>
        <v>3870031.9402471413</v>
      </c>
    </row>
    <row r="40" spans="1:23" x14ac:dyDescent="0.25">
      <c r="A40" s="49">
        <f>A39+1</f>
        <v>31</v>
      </c>
      <c r="D40" s="394"/>
      <c r="E40" s="394"/>
      <c r="F40" s="394"/>
      <c r="G40" s="394">
        <v>1499382.9810481369</v>
      </c>
      <c r="H40" s="184">
        <f t="shared" si="0"/>
        <v>1499382.9810481369</v>
      </c>
      <c r="J40" s="394"/>
      <c r="K40" s="394"/>
      <c r="L40" s="394"/>
      <c r="M40" s="394"/>
      <c r="N40" s="394"/>
      <c r="O40" s="394"/>
      <c r="P40" s="394"/>
      <c r="Q40" s="394">
        <f t="shared" si="4"/>
        <v>0</v>
      </c>
      <c r="S40" s="51">
        <f t="shared" si="1"/>
        <v>1499382.9810481369</v>
      </c>
      <c r="U40" s="394"/>
      <c r="W40" s="51">
        <f t="shared" si="2"/>
        <v>1499382.9810481369</v>
      </c>
    </row>
    <row r="41" spans="1:23" x14ac:dyDescent="0.25">
      <c r="J41" s="463">
        <f>SUM(J10:J40)</f>
        <v>576701593.6630075</v>
      </c>
      <c r="K41" s="463">
        <f t="shared" ref="K41:Q41" si="5">SUM(K10:K40)</f>
        <v>-193809063.58211651</v>
      </c>
      <c r="L41" s="463">
        <f t="shared" si="5"/>
        <v>57503020.739743516</v>
      </c>
      <c r="M41" s="463">
        <f t="shared" si="5"/>
        <v>82386639.008081272</v>
      </c>
      <c r="N41" s="463">
        <f t="shared" si="5"/>
        <v>24966839.657737896</v>
      </c>
      <c r="O41" s="463">
        <f t="shared" si="5"/>
        <v>26065002.763867386</v>
      </c>
      <c r="P41" s="463">
        <f t="shared" si="5"/>
        <v>55622402.173542008</v>
      </c>
      <c r="Q41" s="463">
        <f t="shared" si="5"/>
        <v>629436434.42386293</v>
      </c>
    </row>
    <row r="42" spans="1:23" x14ac:dyDescent="0.25">
      <c r="D42" s="50" t="s">
        <v>206</v>
      </c>
      <c r="H42" s="51">
        <f>SUM(H10:H41)</f>
        <v>597332274.16737866</v>
      </c>
      <c r="J42" s="51"/>
      <c r="K42" s="51"/>
      <c r="L42" s="51"/>
      <c r="M42" s="51"/>
      <c r="N42" s="51"/>
      <c r="O42" s="51"/>
      <c r="P42" s="51"/>
      <c r="Q42" s="51">
        <f>SUM(Q10:Q41)</f>
        <v>1258872868.8477259</v>
      </c>
      <c r="U42" s="51">
        <f>SUM(U10:U41)</f>
        <v>454757441.04895765</v>
      </c>
    </row>
    <row r="43" spans="1:23" x14ac:dyDescent="0.25">
      <c r="D43" s="50" t="s">
        <v>208</v>
      </c>
      <c r="Q43" s="51">
        <f>H42-Q42</f>
        <v>-661540594.6803472</v>
      </c>
      <c r="U43" s="51">
        <f>SUM(W10:W41)</f>
        <v>142574833.11842099</v>
      </c>
    </row>
    <row r="44" spans="1:23" x14ac:dyDescent="0.25">
      <c r="D44" s="50" t="s">
        <v>205</v>
      </c>
      <c r="H44" s="51"/>
      <c r="Q44" s="51">
        <f>NPV(0.03,S10:S40)</f>
        <v>-47853621.470714539</v>
      </c>
      <c r="S44" s="51"/>
      <c r="U44" s="51">
        <f>NPV(0.03,W10:W40)</f>
        <v>67893236.794496402</v>
      </c>
      <c r="W44" s="51"/>
    </row>
    <row r="45" spans="1:23" ht="7.5" customHeight="1" x14ac:dyDescent="0.25"/>
    <row r="46" spans="1:23" x14ac:dyDescent="0.25">
      <c r="D46" s="50" t="s">
        <v>188</v>
      </c>
      <c r="H46" s="105">
        <f>H42/315058648</f>
        <v>1.8959399399421617</v>
      </c>
      <c r="I46" s="105"/>
      <c r="J46" s="105"/>
      <c r="K46" s="105"/>
      <c r="L46" s="105"/>
      <c r="M46" s="105"/>
      <c r="N46" s="105"/>
      <c r="O46" s="105"/>
      <c r="P46" s="105"/>
      <c r="Q46" s="105">
        <f>Q42/315058648</f>
        <v>3.995677874069103</v>
      </c>
      <c r="R46" s="105"/>
      <c r="S46" s="105"/>
      <c r="T46" s="105"/>
      <c r="U46" s="105">
        <f>U42/315058648</f>
        <v>1.4434056768026176</v>
      </c>
    </row>
    <row r="47" spans="1:23" ht="8.25" customHeight="1" x14ac:dyDescent="0.25"/>
    <row r="48" spans="1:23" x14ac:dyDescent="0.25">
      <c r="D48" s="50" t="s">
        <v>207</v>
      </c>
      <c r="H48" s="105">
        <f>(H42-315058648)/H42</f>
        <v>0.47255713172511865</v>
      </c>
      <c r="Q48" s="105">
        <f>(Q42-315058648)/Q42</f>
        <v>0.74972957492651338</v>
      </c>
      <c r="U48" s="105">
        <f>(U42-315058648)/U42</f>
        <v>0.30719407851078601</v>
      </c>
    </row>
  </sheetData>
  <mergeCells count="3">
    <mergeCell ref="D5:W5"/>
    <mergeCell ref="D7:H7"/>
    <mergeCell ref="J7:S7"/>
  </mergeCells>
  <pageMargins left="0.25" right="0.25" top="0.75" bottom="0.75" header="0.3" footer="0.3"/>
  <pageSetup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5:X48"/>
  <sheetViews>
    <sheetView topLeftCell="A4" workbookViewId="0">
      <selection activeCell="J10" sqref="J10:R38"/>
    </sheetView>
  </sheetViews>
  <sheetFormatPr defaultColWidth="9.140625" defaultRowHeight="15" x14ac:dyDescent="0.25"/>
  <cols>
    <col min="1" max="1" width="2.7109375" style="49" bestFit="1" customWidth="1"/>
    <col min="2" max="3" width="4.7109375" style="49" bestFit="1" customWidth="1"/>
    <col min="4" max="7" width="11.7109375" style="50" hidden="1" customWidth="1"/>
    <col min="8" max="8" width="12.5703125" style="49" hidden="1" customWidth="1"/>
    <col min="9" max="9" width="3" style="49" customWidth="1"/>
    <col min="10" max="10" width="12.5703125" style="49" bestFit="1" customWidth="1"/>
    <col min="11" max="11" width="13.140625" style="49" customWidth="1"/>
    <col min="12" max="12" width="12.42578125" style="49" customWidth="1"/>
    <col min="13" max="17" width="12.28515625" style="49" customWidth="1"/>
    <col min="18" max="18" width="14.28515625" style="49" customWidth="1"/>
    <col min="19" max="19" width="2.5703125" style="49" customWidth="1"/>
    <col min="20" max="20" width="12.28515625" style="49" bestFit="1" customWidth="1"/>
    <col min="21" max="21" width="4.140625" style="49" customWidth="1"/>
    <col min="22" max="22" width="12.28515625" style="49" hidden="1" customWidth="1"/>
    <col min="23" max="23" width="3.85546875" style="49" hidden="1" customWidth="1"/>
    <col min="24" max="24" width="12.5703125" style="49" hidden="1" customWidth="1"/>
    <col min="25" max="16384" width="9.140625" style="49"/>
  </cols>
  <sheetData>
    <row r="5" spans="1:24" ht="28.5" x14ac:dyDescent="0.45">
      <c r="C5" s="49" t="s">
        <v>166</v>
      </c>
      <c r="D5" s="581" t="s">
        <v>209</v>
      </c>
      <c r="E5" s="581"/>
      <c r="F5" s="581"/>
      <c r="G5" s="581"/>
      <c r="H5" s="581"/>
      <c r="I5" s="581"/>
      <c r="J5" s="581"/>
      <c r="K5" s="581"/>
      <c r="L5" s="581"/>
      <c r="M5" s="581"/>
      <c r="N5" s="581"/>
      <c r="O5" s="581"/>
      <c r="P5" s="581"/>
      <c r="Q5" s="581"/>
      <c r="R5" s="581"/>
      <c r="S5" s="581"/>
      <c r="T5" s="581"/>
      <c r="U5" s="581"/>
      <c r="V5" s="581"/>
      <c r="W5" s="581"/>
      <c r="X5" s="581"/>
    </row>
    <row r="6" spans="1:24" x14ac:dyDescent="0.25">
      <c r="B6" s="49" t="s">
        <v>161</v>
      </c>
      <c r="C6" s="49" t="s">
        <v>165</v>
      </c>
    </row>
    <row r="7" spans="1:24" ht="15.75" x14ac:dyDescent="0.25">
      <c r="B7" s="49" t="s">
        <v>162</v>
      </c>
      <c r="C7" s="49" t="s">
        <v>162</v>
      </c>
      <c r="D7" s="579" t="s">
        <v>202</v>
      </c>
      <c r="E7" s="579"/>
      <c r="F7" s="579"/>
      <c r="G7" s="579"/>
      <c r="H7" s="579"/>
      <c r="I7" s="195"/>
      <c r="J7" s="580" t="s">
        <v>223</v>
      </c>
      <c r="K7" s="580"/>
      <c r="L7" s="580"/>
      <c r="M7" s="580"/>
      <c r="N7" s="580"/>
      <c r="O7" s="580"/>
      <c r="P7" s="580"/>
      <c r="Q7" s="580"/>
      <c r="R7" s="580"/>
      <c r="S7" s="580"/>
      <c r="T7" s="580"/>
      <c r="U7" s="195"/>
      <c r="V7" s="397" t="s">
        <v>210</v>
      </c>
      <c r="W7" s="397"/>
      <c r="X7" s="397"/>
    </row>
    <row r="8" spans="1:24" x14ac:dyDescent="0.25">
      <c r="N8" s="460">
        <v>7.3749999999999996E-2</v>
      </c>
      <c r="O8" s="461">
        <v>7.2499999999999995E-2</v>
      </c>
      <c r="P8" s="461">
        <v>7.0000000000000007E-2</v>
      </c>
      <c r="Q8" s="461">
        <v>6.5000000000000002E-2</v>
      </c>
      <c r="T8" s="439" t="s">
        <v>204</v>
      </c>
      <c r="X8" s="439" t="s">
        <v>204</v>
      </c>
    </row>
    <row r="9" spans="1:24" x14ac:dyDescent="0.25">
      <c r="D9" s="396" t="s">
        <v>199</v>
      </c>
      <c r="E9" s="396" t="s">
        <v>200</v>
      </c>
      <c r="F9" s="396" t="s">
        <v>157</v>
      </c>
      <c r="G9" s="396" t="s">
        <v>158</v>
      </c>
      <c r="H9" s="396" t="s">
        <v>33</v>
      </c>
      <c r="J9" s="396" t="s">
        <v>199</v>
      </c>
      <c r="K9" s="396" t="s">
        <v>200</v>
      </c>
      <c r="L9" s="396" t="s">
        <v>157</v>
      </c>
      <c r="M9" s="396" t="s">
        <v>158</v>
      </c>
      <c r="N9" s="396" t="s">
        <v>158</v>
      </c>
      <c r="O9" s="396" t="s">
        <v>158</v>
      </c>
      <c r="P9" s="396" t="s">
        <v>158</v>
      </c>
      <c r="Q9" s="396" t="s">
        <v>158</v>
      </c>
      <c r="R9" s="396" t="s">
        <v>33</v>
      </c>
      <c r="T9" s="396" t="s">
        <v>169</v>
      </c>
      <c r="X9" s="396" t="s">
        <v>169</v>
      </c>
    </row>
    <row r="10" spans="1:24" x14ac:dyDescent="0.25">
      <c r="A10" s="49">
        <v>1</v>
      </c>
      <c r="B10" s="49">
        <v>2015</v>
      </c>
      <c r="C10" s="49">
        <v>2018</v>
      </c>
      <c r="D10" s="394">
        <v>26500896.923967961</v>
      </c>
      <c r="E10" s="394">
        <v>-1950557.7507914088</v>
      </c>
      <c r="F10" s="394">
        <v>406782.10456339689</v>
      </c>
      <c r="G10" s="394"/>
      <c r="H10" s="184">
        <f>SUM(D10:G10)</f>
        <v>24957121.27773995</v>
      </c>
      <c r="J10" s="464">
        <v>26500896.923967961</v>
      </c>
      <c r="K10" s="464">
        <f>-1950558-946873</f>
        <v>-2897431</v>
      </c>
      <c r="L10" s="464">
        <v>2183731.2886192543</v>
      </c>
      <c r="M10" s="464">
        <v>2928230.2431653314</v>
      </c>
      <c r="N10" s="464">
        <v>887384.84591993736</v>
      </c>
      <c r="O10" s="464">
        <v>926416.34979013749</v>
      </c>
      <c r="P10" s="464">
        <v>1976961.339885396</v>
      </c>
      <c r="Q10" s="464">
        <v>4504273.3534418531</v>
      </c>
      <c r="R10" s="394">
        <f>SUM(J10:Q10)</f>
        <v>37010463.34478987</v>
      </c>
      <c r="T10" s="51">
        <f>H10-R10</f>
        <v>-12053342.067049921</v>
      </c>
      <c r="V10" s="394">
        <v>32204184.220538326</v>
      </c>
      <c r="X10" s="51">
        <f>H10-V10</f>
        <v>-7247062.9427983761</v>
      </c>
    </row>
    <row r="11" spans="1:24" x14ac:dyDescent="0.25">
      <c r="A11" s="49">
        <v>2</v>
      </c>
      <c r="B11" s="49">
        <f>B10+1</f>
        <v>2016</v>
      </c>
      <c r="C11" s="49">
        <v>2019</v>
      </c>
      <c r="D11" s="394">
        <v>27295923.831687011</v>
      </c>
      <c r="E11" s="394">
        <v>-3013611.7249727263</v>
      </c>
      <c r="F11" s="394">
        <v>837971.13540059759</v>
      </c>
      <c r="G11" s="394">
        <v>636257.71370438207</v>
      </c>
      <c r="H11" s="184">
        <f t="shared" ref="H11:H40" si="0">SUM(D11:G11)</f>
        <v>25756540.955819264</v>
      </c>
      <c r="J11" s="464">
        <v>27295923.831687011</v>
      </c>
      <c r="K11" s="464">
        <v>-3013611.7249727263</v>
      </c>
      <c r="L11" s="464">
        <v>2249243.2272778312</v>
      </c>
      <c r="M11" s="464">
        <v>3016077.1504602907</v>
      </c>
      <c r="N11" s="464">
        <v>914006.39129753527</v>
      </c>
      <c r="O11" s="464">
        <v>954208.84028384159</v>
      </c>
      <c r="P11" s="464">
        <v>2036270.180081958</v>
      </c>
      <c r="Q11" s="464">
        <v>4639401.5540451081</v>
      </c>
      <c r="R11" s="394">
        <f t="shared" ref="R11:R37" si="1">SUM(J11:Q11)</f>
        <v>38091519.450160854</v>
      </c>
      <c r="T11" s="51">
        <f t="shared" ref="T11:T40" si="2">H11-R11</f>
        <v>-12334978.49434159</v>
      </c>
      <c r="V11" s="394">
        <v>32204184.220538322</v>
      </c>
      <c r="X11" s="51">
        <f t="shared" ref="X11:X40" si="3">H11-V11</f>
        <v>-6447643.2647190578</v>
      </c>
    </row>
    <row r="12" spans="1:24" x14ac:dyDescent="0.25">
      <c r="A12" s="49">
        <v>3</v>
      </c>
      <c r="B12" s="49">
        <f t="shared" ref="B12:B39" si="4">B11+1</f>
        <v>2017</v>
      </c>
      <c r="C12" s="49">
        <v>2020</v>
      </c>
      <c r="D12" s="394">
        <v>28114801.546637621</v>
      </c>
      <c r="E12" s="394">
        <v>-4138693.4356292109</v>
      </c>
      <c r="F12" s="394">
        <v>1294665.4041939231</v>
      </c>
      <c r="G12" s="394">
        <v>1310690.890231027</v>
      </c>
      <c r="H12" s="184">
        <f t="shared" si="0"/>
        <v>26581464.40543336</v>
      </c>
      <c r="J12" s="464">
        <v>28114801.546637621</v>
      </c>
      <c r="K12" s="464">
        <v>-4138693.4356292109</v>
      </c>
      <c r="L12" s="464">
        <v>2316720.5240961667</v>
      </c>
      <c r="M12" s="464">
        <v>3106559.4649740998</v>
      </c>
      <c r="N12" s="464">
        <v>941426.58303646138</v>
      </c>
      <c r="O12" s="464">
        <v>982835.10549235682</v>
      </c>
      <c r="P12" s="464">
        <v>2097358.2854844164</v>
      </c>
      <c r="Q12" s="464">
        <v>4778583.6006664624</v>
      </c>
      <c r="R12" s="394">
        <f t="shared" si="1"/>
        <v>38199591.674758367</v>
      </c>
      <c r="T12" s="51">
        <f t="shared" si="2"/>
        <v>-11618127.269325007</v>
      </c>
      <c r="V12" s="394">
        <v>32204184.220538322</v>
      </c>
      <c r="X12" s="51">
        <f t="shared" si="3"/>
        <v>-5622719.8151049614</v>
      </c>
    </row>
    <row r="13" spans="1:24" x14ac:dyDescent="0.25">
      <c r="A13" s="49">
        <v>4</v>
      </c>
      <c r="B13" s="49">
        <f t="shared" si="4"/>
        <v>2018</v>
      </c>
      <c r="C13" s="49">
        <v>2021</v>
      </c>
      <c r="D13" s="394">
        <v>28958245.593036748</v>
      </c>
      <c r="E13" s="394">
        <v>-5328567.7983726095</v>
      </c>
      <c r="F13" s="394">
        <v>1778007.1550929879</v>
      </c>
      <c r="G13" s="394">
        <v>2025017.4254069368</v>
      </c>
      <c r="H13" s="184">
        <f t="shared" si="0"/>
        <v>27432702.375164062</v>
      </c>
      <c r="J13" s="464">
        <v>28958245.593036748</v>
      </c>
      <c r="K13" s="464">
        <v>-5328567.7983726095</v>
      </c>
      <c r="L13" s="464">
        <v>2386222.1398190511</v>
      </c>
      <c r="M13" s="464">
        <v>3199756.2489233213</v>
      </c>
      <c r="N13" s="464">
        <v>969669.38052755524</v>
      </c>
      <c r="O13" s="464">
        <v>1012320.1586571274</v>
      </c>
      <c r="P13" s="464">
        <v>2160279.0340489489</v>
      </c>
      <c r="Q13" s="464">
        <v>4921941.1086864546</v>
      </c>
      <c r="R13" s="394">
        <f t="shared" si="1"/>
        <v>38279865.865326598</v>
      </c>
      <c r="T13" s="51">
        <f t="shared" si="2"/>
        <v>-10847163.490162537</v>
      </c>
      <c r="V13" s="394">
        <v>32204184.220538329</v>
      </c>
      <c r="X13" s="51">
        <f t="shared" si="3"/>
        <v>-4771481.8453742675</v>
      </c>
    </row>
    <row r="14" spans="1:24" x14ac:dyDescent="0.25">
      <c r="A14" s="49">
        <v>5</v>
      </c>
      <c r="B14" s="49">
        <f t="shared" si="4"/>
        <v>2019</v>
      </c>
      <c r="C14" s="49">
        <v>2022</v>
      </c>
      <c r="D14" s="394">
        <v>29826992.960827854</v>
      </c>
      <c r="E14" s="394">
        <v>-5488424.8323237868</v>
      </c>
      <c r="F14" s="394">
        <v>2289184.2121822219</v>
      </c>
      <c r="G14" s="394">
        <v>2781023.9308921932</v>
      </c>
      <c r="H14" s="184">
        <f t="shared" si="0"/>
        <v>29408776.271578483</v>
      </c>
      <c r="J14" s="464">
        <v>29826992.960827854</v>
      </c>
      <c r="K14" s="464">
        <v>-5488424.8323237868</v>
      </c>
      <c r="L14" s="464">
        <v>2457808.8040136239</v>
      </c>
      <c r="M14" s="464">
        <v>3295748.9363910211</v>
      </c>
      <c r="N14" s="464">
        <v>998759.46194338158</v>
      </c>
      <c r="O14" s="464">
        <v>1042689.763416841</v>
      </c>
      <c r="P14" s="464">
        <v>2225087.4050704171</v>
      </c>
      <c r="Q14" s="464">
        <v>5069599.341947047</v>
      </c>
      <c r="R14" s="394">
        <f t="shared" si="1"/>
        <v>39428261.841286406</v>
      </c>
      <c r="T14" s="51">
        <f t="shared" si="2"/>
        <v>-10019485.569707923</v>
      </c>
      <c r="V14" s="394">
        <v>32204184.220538322</v>
      </c>
      <c r="X14" s="51">
        <f t="shared" si="3"/>
        <v>-2795407.9489598386</v>
      </c>
    </row>
    <row r="15" spans="1:24" x14ac:dyDescent="0.25">
      <c r="A15" s="49">
        <v>6</v>
      </c>
      <c r="B15" s="49">
        <f t="shared" si="4"/>
        <v>2020</v>
      </c>
      <c r="C15" s="49">
        <v>2023</v>
      </c>
      <c r="D15" s="394">
        <v>30721802.74965268</v>
      </c>
      <c r="E15" s="394">
        <v>-5653077.5772935012</v>
      </c>
      <c r="F15" s="394">
        <v>2357859.7385476884</v>
      </c>
      <c r="G15" s="394">
        <v>3580568.3110236987</v>
      </c>
      <c r="H15" s="184">
        <f t="shared" si="0"/>
        <v>31007153.221930563</v>
      </c>
      <c r="J15" s="464">
        <v>30721802.74965268</v>
      </c>
      <c r="K15" s="464">
        <v>-5653077.5772935012</v>
      </c>
      <c r="L15" s="464">
        <v>2531543.0681340322</v>
      </c>
      <c r="M15" s="464">
        <v>3394621.4044827512</v>
      </c>
      <c r="N15" s="464">
        <v>1028722.245801683</v>
      </c>
      <c r="O15" s="464">
        <v>1073970.4563193461</v>
      </c>
      <c r="P15" s="464">
        <v>2291840.0272225291</v>
      </c>
      <c r="Q15" s="464">
        <v>5221687.3222054578</v>
      </c>
      <c r="R15" s="394">
        <f t="shared" si="1"/>
        <v>40611109.696524978</v>
      </c>
      <c r="T15" s="51">
        <f t="shared" si="2"/>
        <v>-9603956.4745944142</v>
      </c>
      <c r="V15" s="394">
        <v>32204184.220538337</v>
      </c>
      <c r="X15" s="51">
        <f t="shared" si="3"/>
        <v>-1197030.9986077733</v>
      </c>
    </row>
    <row r="16" spans="1:24" x14ac:dyDescent="0.25">
      <c r="A16" s="49">
        <v>7</v>
      </c>
      <c r="B16" s="49">
        <f t="shared" si="4"/>
        <v>2021</v>
      </c>
      <c r="C16" s="49">
        <v>2024</v>
      </c>
      <c r="D16" s="394">
        <v>31643456.83214226</v>
      </c>
      <c r="E16" s="394">
        <v>-5822669.9046123065</v>
      </c>
      <c r="F16" s="394">
        <v>2428595.5307041192</v>
      </c>
      <c r="G16" s="394">
        <v>3687985.3603544091</v>
      </c>
      <c r="H16" s="184">
        <f t="shared" si="0"/>
        <v>31937367.81858848</v>
      </c>
      <c r="J16" s="464">
        <v>31643456.83214226</v>
      </c>
      <c r="K16" s="464">
        <v>-5822669.9046123065</v>
      </c>
      <c r="L16" s="464">
        <v>2607489.3601780529</v>
      </c>
      <c r="M16" s="464">
        <v>3496460.0466172341</v>
      </c>
      <c r="N16" s="464">
        <v>1059583.9131757338</v>
      </c>
      <c r="O16" s="464">
        <v>1106189.5700089266</v>
      </c>
      <c r="P16" s="464">
        <v>2360595.2280392051</v>
      </c>
      <c r="Q16" s="464">
        <v>5378337.9418716235</v>
      </c>
      <c r="R16" s="394">
        <f t="shared" si="1"/>
        <v>41829442.987420723</v>
      </c>
      <c r="T16" s="51">
        <f t="shared" si="2"/>
        <v>-9892075.1688322425</v>
      </c>
      <c r="V16" s="394">
        <v>32204184.220538326</v>
      </c>
      <c r="X16" s="51">
        <f t="shared" si="3"/>
        <v>-266816.40194984525</v>
      </c>
    </row>
    <row r="17" spans="1:24" x14ac:dyDescent="0.25">
      <c r="A17" s="49">
        <v>8</v>
      </c>
      <c r="B17" s="49">
        <f t="shared" si="4"/>
        <v>2022</v>
      </c>
      <c r="C17" s="49">
        <v>2025</v>
      </c>
      <c r="D17" s="394">
        <v>32592760.537106529</v>
      </c>
      <c r="E17" s="394">
        <v>-5997350.001750675</v>
      </c>
      <c r="F17" s="394">
        <v>2501453.3966252427</v>
      </c>
      <c r="G17" s="394">
        <v>3798624.9211650416</v>
      </c>
      <c r="H17" s="184">
        <f t="shared" si="0"/>
        <v>32895488.85314614</v>
      </c>
      <c r="J17" s="464">
        <v>32592760.537106529</v>
      </c>
      <c r="K17" s="464">
        <v>-5997350.001750675</v>
      </c>
      <c r="L17" s="464">
        <v>2685714.0409833938</v>
      </c>
      <c r="M17" s="464">
        <v>3601353.8480157512</v>
      </c>
      <c r="N17" s="464">
        <v>1091371.4305710057</v>
      </c>
      <c r="O17" s="464">
        <v>1139375.2571091943</v>
      </c>
      <c r="P17" s="464">
        <v>2431413.0848803814</v>
      </c>
      <c r="Q17" s="464">
        <v>5539688.0801277719</v>
      </c>
      <c r="R17" s="394">
        <f t="shared" si="1"/>
        <v>43084326.277043357</v>
      </c>
      <c r="T17" s="51">
        <f t="shared" si="2"/>
        <v>-10188837.423897218</v>
      </c>
      <c r="V17" s="394">
        <v>32204184.220538326</v>
      </c>
      <c r="X17" s="51">
        <f t="shared" si="3"/>
        <v>691304.63260781392</v>
      </c>
    </row>
    <row r="18" spans="1:24" x14ac:dyDescent="0.25">
      <c r="A18" s="49">
        <v>9</v>
      </c>
      <c r="B18" s="49">
        <f t="shared" si="4"/>
        <v>2023</v>
      </c>
      <c r="C18" s="49">
        <v>2026</v>
      </c>
      <c r="D18" s="394">
        <v>33570543.353219725</v>
      </c>
      <c r="E18" s="394">
        <v>-6177270.5018031951</v>
      </c>
      <c r="F18" s="394">
        <v>2576496.9985239999</v>
      </c>
      <c r="G18" s="394">
        <v>3912583.6687999931</v>
      </c>
      <c r="H18" s="184">
        <f t="shared" si="0"/>
        <v>33882353.51874052</v>
      </c>
      <c r="J18" s="464">
        <v>33570543.353219725</v>
      </c>
      <c r="K18" s="464">
        <v>-6177270.5018031951</v>
      </c>
      <c r="L18" s="464">
        <v>2766285.462212896</v>
      </c>
      <c r="M18" s="464">
        <v>3709394.4634562233</v>
      </c>
      <c r="N18" s="464">
        <v>1124112.5734881356</v>
      </c>
      <c r="O18" s="464">
        <v>1173556.51482247</v>
      </c>
      <c r="P18" s="464">
        <v>2504355.477426792</v>
      </c>
      <c r="Q18" s="464">
        <v>5705878.7225316036</v>
      </c>
      <c r="R18" s="394">
        <f t="shared" si="1"/>
        <v>44376856.065354645</v>
      </c>
      <c r="T18" s="51">
        <f t="shared" si="2"/>
        <v>-10494502.546614125</v>
      </c>
      <c r="V18" s="394">
        <v>32204184.220538333</v>
      </c>
      <c r="X18" s="51">
        <f t="shared" si="3"/>
        <v>1678169.2982021868</v>
      </c>
    </row>
    <row r="19" spans="1:24" x14ac:dyDescent="0.25">
      <c r="A19" s="49">
        <v>10</v>
      </c>
      <c r="B19" s="49">
        <f t="shared" si="4"/>
        <v>2024</v>
      </c>
      <c r="C19" s="49">
        <v>2027</v>
      </c>
      <c r="D19" s="394">
        <v>34577659.65381632</v>
      </c>
      <c r="E19" s="394">
        <v>-6362588.6168572912</v>
      </c>
      <c r="F19" s="394">
        <v>2653791.9084797199</v>
      </c>
      <c r="G19" s="394">
        <v>4029961.1788639924</v>
      </c>
      <c r="H19" s="184">
        <f t="shared" si="0"/>
        <v>34898824.124302745</v>
      </c>
      <c r="J19" s="464">
        <v>34577659.65381632</v>
      </c>
      <c r="K19" s="464">
        <v>-6362588.6168572912</v>
      </c>
      <c r="L19" s="464">
        <v>2849274.0260792822</v>
      </c>
      <c r="M19" s="464">
        <v>3820676.2973599099</v>
      </c>
      <c r="N19" s="464">
        <v>1157835.9506927794</v>
      </c>
      <c r="O19" s="464">
        <v>1208763.210267144</v>
      </c>
      <c r="P19" s="464">
        <v>2579486.1417495958</v>
      </c>
      <c r="Q19" s="464">
        <v>5877055.0842075506</v>
      </c>
      <c r="R19" s="394">
        <f t="shared" si="1"/>
        <v>45708161.747315288</v>
      </c>
      <c r="T19" s="51">
        <f t="shared" si="2"/>
        <v>-10809337.623012543</v>
      </c>
      <c r="V19" s="394">
        <v>32204184.220538337</v>
      </c>
      <c r="X19" s="51">
        <f t="shared" si="3"/>
        <v>2694639.9037644081</v>
      </c>
    </row>
    <row r="20" spans="1:24" x14ac:dyDescent="0.25">
      <c r="A20" s="49">
        <v>11</v>
      </c>
      <c r="B20" s="49">
        <f t="shared" si="4"/>
        <v>2025</v>
      </c>
      <c r="C20" s="49">
        <v>2028</v>
      </c>
      <c r="D20" s="394">
        <v>35614989.443430804</v>
      </c>
      <c r="E20" s="394">
        <v>-6553466.2753630104</v>
      </c>
      <c r="F20" s="394">
        <v>2733405.6657341113</v>
      </c>
      <c r="G20" s="394">
        <v>4150860.0142299123</v>
      </c>
      <c r="H20" s="184">
        <f t="shared" si="0"/>
        <v>35945788.848031819</v>
      </c>
      <c r="J20" s="464">
        <v>35614989.443430804</v>
      </c>
      <c r="K20" s="464">
        <v>-6553466.2753630104</v>
      </c>
      <c r="L20" s="464">
        <v>2934752.2468616613</v>
      </c>
      <c r="M20" s="464">
        <v>3935296.5862807063</v>
      </c>
      <c r="N20" s="464">
        <v>1192571.0292135628</v>
      </c>
      <c r="O20" s="464">
        <v>1245026.1065751584</v>
      </c>
      <c r="P20" s="464">
        <v>2656870.7260020841</v>
      </c>
      <c r="Q20" s="464">
        <v>6053366.7367337756</v>
      </c>
      <c r="R20" s="394">
        <f t="shared" si="1"/>
        <v>47079406.599734738</v>
      </c>
      <c r="T20" s="51">
        <f t="shared" si="2"/>
        <v>-11133617.75170292</v>
      </c>
      <c r="V20" s="394">
        <v>32204184.220538341</v>
      </c>
      <c r="X20" s="51">
        <f t="shared" si="3"/>
        <v>3741604.6274934784</v>
      </c>
    </row>
    <row r="21" spans="1:24" x14ac:dyDescent="0.25">
      <c r="A21" s="49">
        <v>12</v>
      </c>
      <c r="B21" s="49">
        <f t="shared" si="4"/>
        <v>2026</v>
      </c>
      <c r="C21" s="49">
        <v>2029</v>
      </c>
      <c r="D21" s="394">
        <v>36683439.126733735</v>
      </c>
      <c r="E21" s="394">
        <v>-6750070.2636238998</v>
      </c>
      <c r="F21" s="394">
        <v>2815407.8357061348</v>
      </c>
      <c r="G21" s="394">
        <v>4275385.8146568099</v>
      </c>
      <c r="H21" s="184">
        <f t="shared" si="0"/>
        <v>37024162.513472781</v>
      </c>
      <c r="J21" s="464">
        <v>36683439.126733735</v>
      </c>
      <c r="K21" s="464">
        <v>-6750070.2636238998</v>
      </c>
      <c r="L21" s="464">
        <v>3022794.8142675105</v>
      </c>
      <c r="M21" s="464">
        <v>4053355.4838691279</v>
      </c>
      <c r="N21" s="464">
        <v>1228348.1600899696</v>
      </c>
      <c r="O21" s="464">
        <v>1282376.8897724131</v>
      </c>
      <c r="P21" s="464">
        <v>2736576.8477821462</v>
      </c>
      <c r="Q21" s="464">
        <v>6234967.7388357911</v>
      </c>
      <c r="R21" s="394">
        <f t="shared" si="1"/>
        <v>48491788.797726788</v>
      </c>
      <c r="T21" s="51">
        <f t="shared" si="2"/>
        <v>-11467626.284254007</v>
      </c>
      <c r="V21" s="394">
        <v>32204184.220538341</v>
      </c>
      <c r="X21" s="51">
        <f t="shared" si="3"/>
        <v>4819978.2929344401</v>
      </c>
    </row>
    <row r="22" spans="1:24" x14ac:dyDescent="0.25">
      <c r="A22" s="49">
        <v>13</v>
      </c>
      <c r="B22" s="49">
        <f t="shared" si="4"/>
        <v>2027</v>
      </c>
      <c r="C22" s="49">
        <v>2030</v>
      </c>
      <c r="D22" s="394">
        <v>37783942.300535761</v>
      </c>
      <c r="E22" s="394">
        <v>-6952572.3715326162</v>
      </c>
      <c r="F22" s="394">
        <v>2899870.0707773184</v>
      </c>
      <c r="G22" s="394">
        <v>4403647.3890965143</v>
      </c>
      <c r="H22" s="184">
        <f t="shared" si="0"/>
        <v>38134887.388876975</v>
      </c>
      <c r="J22" s="464">
        <v>37783942.300535761</v>
      </c>
      <c r="K22" s="464">
        <v>-6952572.3715326162</v>
      </c>
      <c r="L22" s="464">
        <v>3113478.6586955357</v>
      </c>
      <c r="M22" s="464">
        <v>4174956.1483852006</v>
      </c>
      <c r="N22" s="464">
        <v>1265198.6048926683</v>
      </c>
      <c r="O22" s="464">
        <v>1320848.1964655854</v>
      </c>
      <c r="P22" s="464">
        <v>2818674.1532156104</v>
      </c>
      <c r="Q22" s="464">
        <v>6422016.7710008621</v>
      </c>
      <c r="R22" s="394">
        <f t="shared" si="1"/>
        <v>49946542.461658604</v>
      </c>
      <c r="T22" s="51">
        <f t="shared" si="2"/>
        <v>-11811655.07278163</v>
      </c>
      <c r="V22" s="394">
        <v>32204184.220538329</v>
      </c>
      <c r="X22" s="51">
        <f t="shared" si="3"/>
        <v>5930703.1683386452</v>
      </c>
    </row>
    <row r="23" spans="1:24" x14ac:dyDescent="0.25">
      <c r="A23" s="49">
        <v>14</v>
      </c>
      <c r="B23" s="49">
        <f t="shared" si="4"/>
        <v>2028</v>
      </c>
      <c r="C23" s="49">
        <v>2031</v>
      </c>
      <c r="D23" s="394">
        <v>38917460.569551833</v>
      </c>
      <c r="E23" s="394">
        <v>-7161149.5426785955</v>
      </c>
      <c r="F23" s="394">
        <v>2986866.1729006381</v>
      </c>
      <c r="G23" s="394">
        <v>4535756.8107694089</v>
      </c>
      <c r="H23" s="184">
        <f t="shared" si="0"/>
        <v>39278934.010543287</v>
      </c>
      <c r="J23" s="464">
        <v>38917460.569551833</v>
      </c>
      <c r="K23" s="464">
        <v>-7161149.5426785955</v>
      </c>
      <c r="L23" s="464">
        <v>3206883.0184564022</v>
      </c>
      <c r="M23" s="464">
        <v>4300204.8328367565</v>
      </c>
      <c r="N23" s="464">
        <v>1303154.5630394483</v>
      </c>
      <c r="O23" s="464">
        <v>1360473.6423595524</v>
      </c>
      <c r="P23" s="464">
        <v>2903234.3778120782</v>
      </c>
      <c r="Q23" s="464">
        <v>6614677.2741308874</v>
      </c>
      <c r="R23" s="394">
        <f t="shared" si="1"/>
        <v>51444938.735508367</v>
      </c>
      <c r="T23" s="51">
        <f t="shared" si="2"/>
        <v>-12166004.724965081</v>
      </c>
      <c r="V23" s="394">
        <v>32204184.220538337</v>
      </c>
      <c r="X23" s="51">
        <f t="shared" si="3"/>
        <v>7074749.79000495</v>
      </c>
    </row>
    <row r="24" spans="1:24" x14ac:dyDescent="0.25">
      <c r="A24" s="49">
        <v>15</v>
      </c>
      <c r="B24" s="49">
        <f t="shared" si="4"/>
        <v>2029</v>
      </c>
      <c r="C24" s="49">
        <v>2032</v>
      </c>
      <c r="D24" s="394">
        <v>40084984.386638395</v>
      </c>
      <c r="E24" s="394">
        <v>-7375984.0289589539</v>
      </c>
      <c r="F24" s="394">
        <v>3076472.1580876573</v>
      </c>
      <c r="G24" s="394">
        <v>4671829.5150924912</v>
      </c>
      <c r="H24" s="184">
        <f t="shared" si="0"/>
        <v>40457302.03085959</v>
      </c>
      <c r="J24" s="464">
        <v>40084984.386638395</v>
      </c>
      <c r="K24" s="464">
        <v>-7375984.0289589539</v>
      </c>
      <c r="L24" s="464">
        <v>3303089.5090100938</v>
      </c>
      <c r="M24" s="464">
        <v>4429210.9778218586</v>
      </c>
      <c r="N24" s="464">
        <v>1342249.1999306316</v>
      </c>
      <c r="O24" s="464">
        <v>1401287.8516303385</v>
      </c>
      <c r="P24" s="464">
        <v>2990331.4091464402</v>
      </c>
      <c r="Q24" s="464">
        <v>6813117.5923548117</v>
      </c>
      <c r="R24" s="394">
        <f t="shared" si="1"/>
        <v>52988286.897573613</v>
      </c>
      <c r="T24" s="51">
        <f t="shared" si="2"/>
        <v>-12530984.866714023</v>
      </c>
      <c r="V24" s="394">
        <v>32204184.220538344</v>
      </c>
      <c r="X24" s="51">
        <f t="shared" si="3"/>
        <v>8253117.8103212453</v>
      </c>
    </row>
    <row r="25" spans="1:24" x14ac:dyDescent="0.25">
      <c r="A25" s="49">
        <v>16</v>
      </c>
      <c r="B25" s="49">
        <f t="shared" si="4"/>
        <v>2030</v>
      </c>
      <c r="C25" s="49">
        <v>2033</v>
      </c>
      <c r="D25" s="394">
        <v>41287533.918237552</v>
      </c>
      <c r="E25" s="394">
        <v>-7597263.549827721</v>
      </c>
      <c r="F25" s="394">
        <v>3168766.3228302873</v>
      </c>
      <c r="G25" s="394">
        <v>4811984.4005452665</v>
      </c>
      <c r="H25" s="184">
        <f t="shared" si="0"/>
        <v>41671021.091785386</v>
      </c>
      <c r="J25" s="464">
        <v>41287533.918237552</v>
      </c>
      <c r="K25" s="464">
        <v>-7597263.549827721</v>
      </c>
      <c r="L25" s="464">
        <v>3402182.1942803981</v>
      </c>
      <c r="M25" s="464">
        <v>4562087.3071565134</v>
      </c>
      <c r="N25" s="464">
        <v>1382516.6759285505</v>
      </c>
      <c r="O25" s="464">
        <v>1443326.4871792491</v>
      </c>
      <c r="P25" s="464">
        <v>3080041.3514208337</v>
      </c>
      <c r="Q25" s="464">
        <v>7017511.1201254576</v>
      </c>
      <c r="R25" s="394">
        <f t="shared" si="1"/>
        <v>54577935.504500829</v>
      </c>
      <c r="T25" s="51">
        <f t="shared" si="2"/>
        <v>-12906914.412715442</v>
      </c>
      <c r="V25" s="394">
        <v>32204184.220538341</v>
      </c>
      <c r="X25" s="51">
        <f t="shared" si="3"/>
        <v>9466836.8712470457</v>
      </c>
    </row>
    <row r="26" spans="1:24" x14ac:dyDescent="0.25">
      <c r="A26" s="49">
        <v>17</v>
      </c>
      <c r="B26" s="49">
        <f t="shared" si="4"/>
        <v>2031</v>
      </c>
      <c r="C26" s="49">
        <v>2034</v>
      </c>
      <c r="D26" s="394">
        <v>42526159.935784683</v>
      </c>
      <c r="E26" s="394">
        <v>-7825181.4563225526</v>
      </c>
      <c r="F26" s="394">
        <v>3263829.3125151955</v>
      </c>
      <c r="G26" s="394">
        <v>4956343.9325616248</v>
      </c>
      <c r="H26" s="184">
        <f t="shared" si="0"/>
        <v>42921151.724538952</v>
      </c>
      <c r="J26" s="464">
        <v>42526159.935784683</v>
      </c>
      <c r="K26" s="464">
        <v>-7825181.4563225526</v>
      </c>
      <c r="L26" s="464">
        <v>3504247.6601088094</v>
      </c>
      <c r="M26" s="464">
        <v>4698949.9263712075</v>
      </c>
      <c r="N26" s="464">
        <v>1423992.1762064067</v>
      </c>
      <c r="O26" s="464">
        <v>1486626.281794626</v>
      </c>
      <c r="P26" s="464">
        <v>3172442.5919634579</v>
      </c>
      <c r="Q26" s="464">
        <v>7228036.4537292188</v>
      </c>
      <c r="R26" s="394">
        <f t="shared" si="1"/>
        <v>56215273.569635861</v>
      </c>
      <c r="T26" s="51">
        <f t="shared" si="2"/>
        <v>-13294121.845096909</v>
      </c>
      <c r="V26" s="394">
        <v>32204184.220538348</v>
      </c>
      <c r="X26" s="51">
        <f t="shared" si="3"/>
        <v>10716967.504000604</v>
      </c>
    </row>
    <row r="27" spans="1:24" x14ac:dyDescent="0.25">
      <c r="A27" s="49">
        <v>18</v>
      </c>
      <c r="B27" s="49">
        <f t="shared" si="4"/>
        <v>2032</v>
      </c>
      <c r="C27" s="49">
        <v>2035</v>
      </c>
      <c r="D27" s="394"/>
      <c r="E27" s="394">
        <v>-8059936.9000122296</v>
      </c>
      <c r="F27" s="394">
        <v>3361744.1918906514</v>
      </c>
      <c r="G27" s="394">
        <v>5105034.2505384721</v>
      </c>
      <c r="H27" s="184">
        <f t="shared" si="0"/>
        <v>406841.54241689388</v>
      </c>
      <c r="J27" s="464"/>
      <c r="K27" s="464">
        <v>-8059936.9000122296</v>
      </c>
      <c r="L27" s="464">
        <v>3609375.0899120737</v>
      </c>
      <c r="M27" s="464">
        <v>4839918.4241623431</v>
      </c>
      <c r="N27" s="464">
        <v>1466711.941492599</v>
      </c>
      <c r="O27" s="464">
        <v>1531225.0702484646</v>
      </c>
      <c r="P27" s="464">
        <v>3267615.8697223617</v>
      </c>
      <c r="Q27" s="464">
        <v>7444877.5473410934</v>
      </c>
      <c r="R27" s="394">
        <f t="shared" si="1"/>
        <v>14099787.042866707</v>
      </c>
      <c r="T27" s="51">
        <f t="shared" si="2"/>
        <v>-13692945.500449814</v>
      </c>
      <c r="V27" s="394">
        <v>-8059936.9000122296</v>
      </c>
      <c r="X27" s="51">
        <f t="shared" si="3"/>
        <v>8466778.4424291234</v>
      </c>
    </row>
    <row r="28" spans="1:24" x14ac:dyDescent="0.25">
      <c r="A28" s="49">
        <v>19</v>
      </c>
      <c r="B28" s="49">
        <f t="shared" si="4"/>
        <v>2033</v>
      </c>
      <c r="C28" s="49">
        <v>2036</v>
      </c>
      <c r="D28" s="394"/>
      <c r="E28" s="394">
        <v>-8301735.0070125964</v>
      </c>
      <c r="F28" s="394">
        <v>3462596.5176473707</v>
      </c>
      <c r="G28" s="394">
        <v>5258185.2780546267</v>
      </c>
      <c r="H28" s="184">
        <f t="shared" si="0"/>
        <v>419046.788689401</v>
      </c>
      <c r="J28" s="464"/>
      <c r="K28" s="464">
        <v>-8301735.0070125964</v>
      </c>
      <c r="L28" s="464">
        <v>3717656.3426094363</v>
      </c>
      <c r="M28" s="464">
        <v>4985115.9768872131</v>
      </c>
      <c r="N28" s="464">
        <v>1510713.2997373764</v>
      </c>
      <c r="O28" s="464">
        <v>1577161.8223559179</v>
      </c>
      <c r="P28" s="464">
        <v>3365644.3458140315</v>
      </c>
      <c r="Q28" s="464">
        <v>7668223.8737613242</v>
      </c>
      <c r="R28" s="394">
        <f t="shared" si="1"/>
        <v>14522780.654152703</v>
      </c>
      <c r="T28" s="51">
        <f t="shared" si="2"/>
        <v>-14103733.865463302</v>
      </c>
      <c r="V28" s="394">
        <v>-8301735.0070125964</v>
      </c>
      <c r="X28" s="51">
        <f t="shared" si="3"/>
        <v>8720781.7957019974</v>
      </c>
    </row>
    <row r="29" spans="1:24" x14ac:dyDescent="0.25">
      <c r="A29" s="49">
        <v>20</v>
      </c>
      <c r="B29" s="49">
        <f t="shared" si="4"/>
        <v>2034</v>
      </c>
      <c r="C29" s="49">
        <v>2037</v>
      </c>
      <c r="D29" s="394"/>
      <c r="E29" s="394">
        <v>-8550787.0572229736</v>
      </c>
      <c r="F29" s="394">
        <v>3566474.4131767917</v>
      </c>
      <c r="G29" s="394">
        <v>5415930.8363962658</v>
      </c>
      <c r="H29" s="184">
        <f t="shared" si="0"/>
        <v>431618.19235008396</v>
      </c>
      <c r="J29" s="464"/>
      <c r="K29" s="464">
        <v>-8550787.0572229736</v>
      </c>
      <c r="L29" s="464">
        <v>3829186.0328877205</v>
      </c>
      <c r="M29" s="464">
        <v>5134669.4561938262</v>
      </c>
      <c r="N29" s="464">
        <v>1556034.6987294964</v>
      </c>
      <c r="O29" s="464">
        <v>1624476.6770265945</v>
      </c>
      <c r="P29" s="464">
        <v>3466613.6761884508</v>
      </c>
      <c r="Q29" s="464">
        <v>7898270.5899741594</v>
      </c>
      <c r="R29" s="394">
        <f t="shared" si="1"/>
        <v>14958464.073777273</v>
      </c>
      <c r="T29" s="51">
        <f t="shared" si="2"/>
        <v>-14526845.881427189</v>
      </c>
      <c r="V29" s="394">
        <v>-8550787.0572229736</v>
      </c>
      <c r="X29" s="51">
        <f t="shared" si="3"/>
        <v>8982405.2495730575</v>
      </c>
    </row>
    <row r="30" spans="1:24" x14ac:dyDescent="0.25">
      <c r="A30" s="49">
        <v>21</v>
      </c>
      <c r="B30" s="49">
        <f t="shared" si="4"/>
        <v>2035</v>
      </c>
      <c r="C30" s="49">
        <v>2038</v>
      </c>
      <c r="D30" s="394"/>
      <c r="E30" s="394">
        <v>-8807310.6689396612</v>
      </c>
      <c r="F30" s="394">
        <v>3673468.6455720956</v>
      </c>
      <c r="G30" s="394">
        <v>5578408.7614881536</v>
      </c>
      <c r="H30" s="184">
        <f t="shared" si="0"/>
        <v>444566.73812058847</v>
      </c>
      <c r="J30" s="464"/>
      <c r="K30" s="464">
        <v>-8807310.6689396612</v>
      </c>
      <c r="L30" s="464"/>
      <c r="M30" s="464"/>
      <c r="N30" s="464"/>
      <c r="O30" s="464"/>
      <c r="P30" s="464"/>
      <c r="Q30" s="464"/>
      <c r="R30" s="394">
        <f t="shared" si="1"/>
        <v>-8807310.6689396612</v>
      </c>
      <c r="T30" s="51">
        <f t="shared" si="2"/>
        <v>9251877.4070602506</v>
      </c>
      <c r="V30" s="394">
        <v>-8807310.6689396612</v>
      </c>
      <c r="X30" s="51">
        <f t="shared" si="3"/>
        <v>9251877.4070602506</v>
      </c>
    </row>
    <row r="31" spans="1:24" x14ac:dyDescent="0.25">
      <c r="A31" s="49">
        <v>22</v>
      </c>
      <c r="B31" s="49">
        <f t="shared" si="4"/>
        <v>2036</v>
      </c>
      <c r="C31" s="49">
        <v>2039</v>
      </c>
      <c r="D31" s="394"/>
      <c r="E31" s="394">
        <v>-9071529.989007853</v>
      </c>
      <c r="F31" s="394">
        <v>3783672.7049392578</v>
      </c>
      <c r="G31" s="394">
        <v>5745761.0243327981</v>
      </c>
      <c r="H31" s="184">
        <f t="shared" si="0"/>
        <v>457903.74026420247</v>
      </c>
      <c r="J31" s="464"/>
      <c r="K31" s="464">
        <v>-9071529.989007853</v>
      </c>
      <c r="L31" s="464"/>
      <c r="M31" s="464"/>
      <c r="N31" s="464"/>
      <c r="O31" s="464"/>
      <c r="P31" s="464"/>
      <c r="Q31" s="464"/>
      <c r="R31" s="394">
        <f t="shared" si="1"/>
        <v>-9071529.989007853</v>
      </c>
      <c r="T31" s="51">
        <f t="shared" si="2"/>
        <v>9529433.7292720564</v>
      </c>
      <c r="V31" s="394">
        <v>-9071529.989007853</v>
      </c>
      <c r="X31" s="51">
        <f t="shared" si="3"/>
        <v>9529433.7292720564</v>
      </c>
    </row>
    <row r="32" spans="1:24" x14ac:dyDescent="0.25">
      <c r="A32" s="49">
        <v>23</v>
      </c>
      <c r="B32" s="49">
        <f t="shared" si="4"/>
        <v>2037</v>
      </c>
      <c r="C32" s="49">
        <v>2040</v>
      </c>
      <c r="D32" s="394"/>
      <c r="E32" s="394">
        <v>-9343675.8886780888</v>
      </c>
      <c r="F32" s="394">
        <v>3897182.8860874362</v>
      </c>
      <c r="G32" s="394">
        <v>5918133.8550627809</v>
      </c>
      <c r="H32" s="184">
        <f t="shared" si="0"/>
        <v>471640.85247212835</v>
      </c>
      <c r="J32" s="464"/>
      <c r="K32" s="464">
        <v>-9343675.8886780888</v>
      </c>
      <c r="L32" s="464"/>
      <c r="M32" s="464"/>
      <c r="N32" s="464"/>
      <c r="O32" s="464"/>
      <c r="P32" s="464"/>
      <c r="Q32" s="464"/>
      <c r="R32" s="394">
        <f t="shared" si="1"/>
        <v>-9343675.8886780888</v>
      </c>
      <c r="T32" s="51">
        <f t="shared" si="2"/>
        <v>9815316.7411502171</v>
      </c>
      <c r="V32" s="394">
        <v>-9343675.8886780888</v>
      </c>
      <c r="X32" s="51">
        <f t="shared" si="3"/>
        <v>9815316.7411502171</v>
      </c>
    </row>
    <row r="33" spans="1:24" x14ac:dyDescent="0.25">
      <c r="A33" s="49">
        <v>24</v>
      </c>
      <c r="B33" s="49">
        <f t="shared" si="4"/>
        <v>2038</v>
      </c>
      <c r="C33" s="49">
        <v>2041</v>
      </c>
      <c r="D33" s="394"/>
      <c r="E33" s="394">
        <v>-9623986.1653384306</v>
      </c>
      <c r="F33" s="394">
        <v>4014098.3726700596</v>
      </c>
      <c r="G33" s="394">
        <v>6095677.8707146654</v>
      </c>
      <c r="H33" s="184">
        <f t="shared" si="0"/>
        <v>485790.07804629486</v>
      </c>
      <c r="J33" s="464"/>
      <c r="K33" s="464">
        <v>-9623986.1653384306</v>
      </c>
      <c r="L33" s="464"/>
      <c r="M33" s="464"/>
      <c r="N33" s="464"/>
      <c r="O33" s="464"/>
      <c r="P33" s="464"/>
      <c r="Q33" s="464"/>
      <c r="R33" s="394">
        <f t="shared" si="1"/>
        <v>-9623986.1653384306</v>
      </c>
      <c r="T33" s="51">
        <f t="shared" si="2"/>
        <v>10109776.243384726</v>
      </c>
      <c r="V33" s="394">
        <v>-9623986.1653384306</v>
      </c>
      <c r="X33" s="51">
        <f t="shared" si="3"/>
        <v>10109776.243384726</v>
      </c>
    </row>
    <row r="34" spans="1:24" x14ac:dyDescent="0.25">
      <c r="A34" s="49">
        <v>25</v>
      </c>
      <c r="B34" s="49">
        <f t="shared" si="4"/>
        <v>2039</v>
      </c>
      <c r="C34" s="49">
        <v>2042</v>
      </c>
      <c r="D34" s="394"/>
      <c r="E34" s="394">
        <v>-9912705.750298582</v>
      </c>
      <c r="F34" s="394">
        <v>4134521.3238501605</v>
      </c>
      <c r="G34" s="394">
        <v>6278548.2068361053</v>
      </c>
      <c r="H34" s="184">
        <f t="shared" si="0"/>
        <v>500363.78038768377</v>
      </c>
      <c r="J34" s="464"/>
      <c r="K34" s="464">
        <v>-9912705.750298582</v>
      </c>
      <c r="L34" s="464"/>
      <c r="M34" s="464"/>
      <c r="N34" s="464"/>
      <c r="O34" s="464"/>
      <c r="P34" s="464"/>
      <c r="Q34" s="464"/>
      <c r="R34" s="394">
        <f t="shared" si="1"/>
        <v>-9912705.750298582</v>
      </c>
      <c r="T34" s="51">
        <f t="shared" si="2"/>
        <v>10413069.530686267</v>
      </c>
      <c r="V34" s="394">
        <v>-9912705.750298582</v>
      </c>
      <c r="X34" s="51">
        <f t="shared" si="3"/>
        <v>10413069.530686267</v>
      </c>
    </row>
    <row r="35" spans="1:24" x14ac:dyDescent="0.25">
      <c r="A35" s="49">
        <v>26</v>
      </c>
      <c r="B35" s="49">
        <f t="shared" si="4"/>
        <v>2040</v>
      </c>
      <c r="C35" s="49">
        <v>2043</v>
      </c>
      <c r="D35" s="394"/>
      <c r="E35" s="394">
        <v>-8168069.5382460346</v>
      </c>
      <c r="F35" s="394">
        <v>4258556.9635656653</v>
      </c>
      <c r="G35" s="394">
        <v>6466904.6530411877</v>
      </c>
      <c r="H35" s="184">
        <f t="shared" si="0"/>
        <v>2557392.0783608183</v>
      </c>
      <c r="J35" s="464"/>
      <c r="K35" s="464">
        <v>-8168069.5382460346</v>
      </c>
      <c r="L35" s="464"/>
      <c r="M35" s="464"/>
      <c r="N35" s="464"/>
      <c r="O35" s="464"/>
      <c r="P35" s="464"/>
      <c r="Q35" s="464"/>
      <c r="R35" s="394">
        <f t="shared" si="1"/>
        <v>-8168069.5382460346</v>
      </c>
      <c r="T35" s="51">
        <f t="shared" si="2"/>
        <v>10725461.616606854</v>
      </c>
      <c r="V35" s="394">
        <v>-8168069.5382460346</v>
      </c>
      <c r="X35" s="51">
        <f t="shared" si="3"/>
        <v>10725461.616606854</v>
      </c>
    </row>
    <row r="36" spans="1:24" x14ac:dyDescent="0.25">
      <c r="A36" s="49">
        <v>27</v>
      </c>
      <c r="B36" s="49">
        <f t="shared" si="4"/>
        <v>2041</v>
      </c>
      <c r="C36" s="49">
        <v>2044</v>
      </c>
      <c r="D36" s="394"/>
      <c r="E36" s="394">
        <v>-6309833.7182950601</v>
      </c>
      <c r="F36" s="394">
        <v>3509050.9379781093</v>
      </c>
      <c r="G36" s="394">
        <v>6660911.7926324233</v>
      </c>
      <c r="H36" s="184">
        <f t="shared" si="0"/>
        <v>3860129.0123154726</v>
      </c>
      <c r="J36" s="464"/>
      <c r="K36" s="464">
        <v>-6309833.7182950601</v>
      </c>
      <c r="L36" s="464"/>
      <c r="M36" s="464"/>
      <c r="N36" s="464"/>
      <c r="O36" s="464"/>
      <c r="P36" s="464"/>
      <c r="Q36" s="464"/>
      <c r="R36" s="394">
        <f>SUM(J36:Q36)</f>
        <v>-6309833.7182950601</v>
      </c>
      <c r="T36" s="51">
        <f t="shared" si="2"/>
        <v>10169962.730610533</v>
      </c>
      <c r="V36" s="394">
        <v>-6309833.7182950601</v>
      </c>
      <c r="X36" s="51">
        <f t="shared" si="3"/>
        <v>10169962.730610533</v>
      </c>
    </row>
    <row r="37" spans="1:24" x14ac:dyDescent="0.25">
      <c r="A37" s="49">
        <v>28</v>
      </c>
      <c r="B37" s="49">
        <f t="shared" si="4"/>
        <v>2042</v>
      </c>
      <c r="C37" s="49">
        <v>2045</v>
      </c>
      <c r="D37" s="394"/>
      <c r="E37" s="394">
        <v>-4332752.4865626087</v>
      </c>
      <c r="F37" s="394">
        <v>2710741.8495880882</v>
      </c>
      <c r="G37" s="394">
        <v>5488591.3171291174</v>
      </c>
      <c r="H37" s="184">
        <f t="shared" si="0"/>
        <v>3866580.6801545969</v>
      </c>
      <c r="J37" s="464"/>
      <c r="K37" s="464">
        <v>-4332752.4865626087</v>
      </c>
      <c r="L37" s="464"/>
      <c r="M37" s="464"/>
      <c r="N37" s="464"/>
      <c r="O37" s="464"/>
      <c r="P37" s="464"/>
      <c r="Q37" s="464"/>
      <c r="R37" s="394">
        <f t="shared" si="1"/>
        <v>-4332752.4865626087</v>
      </c>
      <c r="T37" s="51">
        <f t="shared" si="2"/>
        <v>8199333.1667172052</v>
      </c>
      <c r="V37" s="394">
        <v>-4332752.4865626087</v>
      </c>
      <c r="X37" s="51">
        <f t="shared" si="3"/>
        <v>8199333.1667172052</v>
      </c>
    </row>
    <row r="38" spans="1:24" x14ac:dyDescent="0.25">
      <c r="A38" s="49">
        <v>29</v>
      </c>
      <c r="B38" s="49">
        <f t="shared" si="4"/>
        <v>2043</v>
      </c>
      <c r="C38" s="49">
        <v>2046</v>
      </c>
      <c r="D38" s="394"/>
      <c r="E38" s="394">
        <v>-2231367.530579743</v>
      </c>
      <c r="F38" s="394">
        <v>1861376.0700504878</v>
      </c>
      <c r="G38" s="394">
        <v>4239936.7924822429</v>
      </c>
      <c r="H38" s="184">
        <f t="shared" si="0"/>
        <v>3869945.3319529877</v>
      </c>
      <c r="J38" s="464"/>
      <c r="K38" s="464">
        <v>-2231367.530579743</v>
      </c>
      <c r="L38" s="464"/>
      <c r="M38" s="464"/>
      <c r="N38" s="464"/>
      <c r="O38" s="464"/>
      <c r="P38" s="464"/>
      <c r="Q38" s="464"/>
      <c r="R38" s="394">
        <f>SUM(J38:Q38)</f>
        <v>-2231367.530579743</v>
      </c>
      <c r="T38" s="51">
        <f t="shared" si="2"/>
        <v>6101312.8625327311</v>
      </c>
      <c r="V38" s="394">
        <v>-2231367.530579743</v>
      </c>
      <c r="X38" s="51">
        <f t="shared" si="3"/>
        <v>6101312.8625327311</v>
      </c>
    </row>
    <row r="39" spans="1:24" x14ac:dyDescent="0.25">
      <c r="A39" s="49">
        <v>30</v>
      </c>
      <c r="B39" s="49">
        <f t="shared" si="4"/>
        <v>2044</v>
      </c>
      <c r="C39" s="49">
        <v>2047</v>
      </c>
      <c r="D39" s="394"/>
      <c r="E39" s="394"/>
      <c r="F39" s="394">
        <v>958608.67607600102</v>
      </c>
      <c r="G39" s="394">
        <v>2911423.2641711403</v>
      </c>
      <c r="H39" s="184">
        <f t="shared" si="0"/>
        <v>3870031.9402471413</v>
      </c>
      <c r="J39" s="464"/>
      <c r="K39" s="464"/>
      <c r="L39" s="464"/>
      <c r="M39" s="464"/>
      <c r="N39" s="464"/>
      <c r="O39" s="464"/>
      <c r="P39" s="464"/>
      <c r="Q39" s="464"/>
      <c r="R39" s="394"/>
      <c r="T39" s="51">
        <f t="shared" si="2"/>
        <v>3870031.9402471413</v>
      </c>
      <c r="V39" s="394">
        <v>0</v>
      </c>
      <c r="X39" s="51">
        <f t="shared" si="3"/>
        <v>3870031.9402471413</v>
      </c>
    </row>
    <row r="40" spans="1:24" x14ac:dyDescent="0.25">
      <c r="A40" s="49">
        <f>A39+1</f>
        <v>31</v>
      </c>
      <c r="D40" s="394"/>
      <c r="E40" s="394"/>
      <c r="F40" s="394"/>
      <c r="G40" s="394">
        <v>1499382.9810481369</v>
      </c>
      <c r="H40" s="184">
        <f t="shared" si="0"/>
        <v>1499382.9810481369</v>
      </c>
      <c r="J40" s="464"/>
      <c r="K40" s="464"/>
      <c r="L40" s="464"/>
      <c r="M40" s="464"/>
      <c r="N40" s="464"/>
      <c r="O40" s="464"/>
      <c r="P40" s="464"/>
      <c r="Q40" s="464"/>
      <c r="R40" s="394"/>
      <c r="T40" s="51">
        <f t="shared" si="2"/>
        <v>1499382.9810481369</v>
      </c>
      <c r="V40" s="394"/>
      <c r="X40" s="51">
        <f t="shared" si="3"/>
        <v>1499382.9810481369</v>
      </c>
    </row>
    <row r="41" spans="1:24" x14ac:dyDescent="0.25">
      <c r="J41" s="463">
        <f>SUM(J10:J40)</f>
        <v>576701593.6630075</v>
      </c>
      <c r="K41" s="463">
        <f t="shared" ref="K41:R41" si="5">SUM(K10:K40)</f>
        <v>-193809063.58211651</v>
      </c>
      <c r="L41" s="463">
        <f t="shared" si="5"/>
        <v>58677677.508503228</v>
      </c>
      <c r="M41" s="463">
        <f t="shared" si="5"/>
        <v>78682643.223810673</v>
      </c>
      <c r="N41" s="463">
        <f t="shared" si="5"/>
        <v>23844363.125714913</v>
      </c>
      <c r="O41" s="463">
        <f t="shared" si="5"/>
        <v>24893154.251575287</v>
      </c>
      <c r="P41" s="463">
        <f t="shared" si="5"/>
        <v>53121691.552957132</v>
      </c>
      <c r="Q41" s="463">
        <f t="shared" si="5"/>
        <v>121031511.80771831</v>
      </c>
      <c r="R41" s="463">
        <f t="shared" si="5"/>
        <v>743143571.55117059</v>
      </c>
    </row>
    <row r="42" spans="1:24" x14ac:dyDescent="0.25">
      <c r="D42" s="50" t="s">
        <v>206</v>
      </c>
      <c r="H42" s="51">
        <f>SUM(H10:H41)</f>
        <v>597332274.16737866</v>
      </c>
      <c r="J42" s="51"/>
      <c r="K42" s="51"/>
      <c r="L42" s="51"/>
      <c r="M42" s="51"/>
      <c r="N42" s="51"/>
      <c r="O42" s="51"/>
      <c r="P42" s="51"/>
      <c r="Q42" s="51"/>
      <c r="R42" s="51">
        <f>SUM(R10:R41)</f>
        <v>1486287143.1023412</v>
      </c>
      <c r="V42" s="51">
        <f>SUM(V10:V41)</f>
        <v>454757441.04895765</v>
      </c>
    </row>
    <row r="43" spans="1:24" x14ac:dyDescent="0.25">
      <c r="D43" s="50" t="s">
        <v>208</v>
      </c>
      <c r="R43" s="51">
        <f>H42-R42</f>
        <v>-888954868.93496251</v>
      </c>
      <c r="V43" s="51">
        <f>SUM(X10:X41)</f>
        <v>142574833.11842099</v>
      </c>
    </row>
    <row r="44" spans="1:24" x14ac:dyDescent="0.25">
      <c r="D44" s="50" t="s">
        <v>205</v>
      </c>
      <c r="H44" s="51"/>
      <c r="R44" s="51">
        <f>NPV(0.03,T10:T40)</f>
        <v>-130103912.56446193</v>
      </c>
      <c r="T44" s="51"/>
      <c r="V44" s="51">
        <f>NPV(0.03,X10:X40)</f>
        <v>67893236.794496402</v>
      </c>
      <c r="X44" s="51"/>
    </row>
    <row r="45" spans="1:24" ht="7.5" customHeight="1" x14ac:dyDescent="0.25"/>
    <row r="46" spans="1:24" x14ac:dyDescent="0.25">
      <c r="D46" s="50" t="s">
        <v>188</v>
      </c>
      <c r="H46" s="105">
        <f>H42/315058648</f>
        <v>1.8959399399421617</v>
      </c>
      <c r="I46" s="105"/>
      <c r="J46" s="105"/>
      <c r="K46" s="105"/>
      <c r="L46" s="105"/>
      <c r="M46" s="105"/>
      <c r="N46" s="105"/>
      <c r="O46" s="105"/>
      <c r="P46" s="105"/>
      <c r="Q46" s="105"/>
      <c r="R46" s="105">
        <f>R42/315058648</f>
        <v>4.7174935604444705</v>
      </c>
      <c r="S46" s="105"/>
      <c r="T46" s="105"/>
      <c r="U46" s="105"/>
      <c r="V46" s="105">
        <f>V42/315058648</f>
        <v>1.4434056768026176</v>
      </c>
    </row>
    <row r="47" spans="1:24" ht="8.25" customHeight="1" x14ac:dyDescent="0.25"/>
    <row r="48" spans="1:24" x14ac:dyDescent="0.25">
      <c r="D48" s="50" t="s">
        <v>207</v>
      </c>
      <c r="H48" s="105">
        <f>(H42-315058648)/H42</f>
        <v>0.47255713172511865</v>
      </c>
      <c r="R48" s="105">
        <f>(R42-315058648)/R42</f>
        <v>0.78802302807896518</v>
      </c>
      <c r="V48" s="105">
        <f>(V42-315058648)/V42</f>
        <v>0.30719407851078601</v>
      </c>
    </row>
  </sheetData>
  <mergeCells count="3">
    <mergeCell ref="D5:X5"/>
    <mergeCell ref="D7:H7"/>
    <mergeCell ref="J7:T7"/>
  </mergeCells>
  <pageMargins left="0.25" right="0.25" top="0.75" bottom="0.75" header="0.3" footer="0.3"/>
  <pageSetup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5:W48"/>
  <sheetViews>
    <sheetView topLeftCell="C7" workbookViewId="0">
      <selection activeCell="F13" sqref="F13"/>
    </sheetView>
  </sheetViews>
  <sheetFormatPr defaultColWidth="9" defaultRowHeight="15" x14ac:dyDescent="0.25"/>
  <cols>
    <col min="1" max="1" width="2.7109375" style="49" bestFit="1" customWidth="1"/>
    <col min="2" max="2" width="4.7109375" style="49" bestFit="1" customWidth="1"/>
    <col min="3" max="3" width="5" style="49" bestFit="1" customWidth="1"/>
    <col min="4" max="4" width="15.28515625" style="50" customWidth="1"/>
    <col min="5" max="5" width="13.42578125" style="50" bestFit="1" customWidth="1"/>
    <col min="6" max="6" width="11.5703125" style="50" bestFit="1" customWidth="1"/>
    <col min="7" max="7" width="12.5703125" style="50" bestFit="1" customWidth="1"/>
    <col min="8" max="10" width="11.5703125" style="50" bestFit="1" customWidth="1"/>
    <col min="11" max="11" width="14.28515625" style="49" bestFit="1" customWidth="1"/>
    <col min="12" max="12" width="3" style="49" customWidth="1"/>
    <col min="13" max="13" width="11.85546875" style="49" hidden="1" customWidth="1"/>
    <col min="14" max="14" width="12.42578125" style="49" hidden="1" customWidth="1"/>
    <col min="15" max="16" width="10.85546875" style="49" hidden="1" customWidth="1"/>
    <col min="17" max="17" width="14.28515625" style="49" bestFit="1" customWidth="1"/>
    <col min="18" max="18" width="2.5703125" style="49" customWidth="1"/>
    <col min="19" max="19" width="10.85546875" style="49" hidden="1" customWidth="1"/>
    <col min="20" max="20" width="4.140625" style="49" customWidth="1"/>
    <col min="21" max="21" width="14.28515625" style="49" bestFit="1" customWidth="1"/>
    <col min="22" max="22" width="5.5703125" style="49" customWidth="1"/>
    <col min="23" max="23" width="12.5703125" style="49" bestFit="1" customWidth="1"/>
    <col min="24" max="16384" width="9" style="49"/>
  </cols>
  <sheetData>
    <row r="5" spans="1:23" ht="28.5" x14ac:dyDescent="0.45">
      <c r="C5" s="49" t="s">
        <v>166</v>
      </c>
      <c r="D5" s="581" t="s">
        <v>209</v>
      </c>
      <c r="E5" s="581"/>
      <c r="F5" s="581"/>
      <c r="G5" s="581"/>
      <c r="H5" s="581"/>
      <c r="I5" s="581"/>
      <c r="J5" s="581"/>
      <c r="K5" s="581"/>
      <c r="L5" s="581"/>
      <c r="M5" s="581"/>
      <c r="N5" s="581"/>
      <c r="O5" s="581"/>
      <c r="P5" s="581"/>
      <c r="Q5" s="581"/>
      <c r="R5" s="581"/>
      <c r="S5" s="581"/>
      <c r="T5" s="581"/>
      <c r="U5" s="581"/>
      <c r="V5" s="581"/>
      <c r="W5" s="581"/>
    </row>
    <row r="6" spans="1:23" x14ac:dyDescent="0.25">
      <c r="B6" s="49" t="s">
        <v>161</v>
      </c>
      <c r="C6" s="49" t="s">
        <v>165</v>
      </c>
    </row>
    <row r="7" spans="1:23" ht="47.25" x14ac:dyDescent="0.25">
      <c r="B7" s="49" t="s">
        <v>162</v>
      </c>
      <c r="C7" s="49" t="s">
        <v>162</v>
      </c>
      <c r="D7" s="582" t="s">
        <v>202</v>
      </c>
      <c r="E7" s="582"/>
      <c r="F7" s="582"/>
      <c r="G7" s="582"/>
      <c r="H7" s="582"/>
      <c r="I7" s="582"/>
      <c r="J7" s="582"/>
      <c r="K7" s="582"/>
      <c r="L7" s="398"/>
      <c r="M7" s="583" t="s">
        <v>201</v>
      </c>
      <c r="N7" s="583"/>
      <c r="O7" s="583"/>
      <c r="P7" s="583"/>
      <c r="Q7" s="583"/>
      <c r="R7" s="583"/>
      <c r="S7" s="583"/>
      <c r="T7" s="398"/>
      <c r="U7" s="399" t="s">
        <v>203</v>
      </c>
      <c r="V7" s="400"/>
      <c r="W7" s="400"/>
    </row>
    <row r="8" spans="1:23" x14ac:dyDescent="0.25">
      <c r="H8" s="460">
        <v>7.3749999999999996E-2</v>
      </c>
      <c r="I8" s="461">
        <v>7.2499999999999995E-2</v>
      </c>
      <c r="J8" s="461">
        <v>7.0000000000000007E-2</v>
      </c>
      <c r="K8" s="461" t="s">
        <v>68</v>
      </c>
      <c r="S8" s="379" t="s">
        <v>204</v>
      </c>
      <c r="W8" s="379" t="s">
        <v>204</v>
      </c>
    </row>
    <row r="9" spans="1:23" x14ac:dyDescent="0.25">
      <c r="D9" s="396" t="s">
        <v>199</v>
      </c>
      <c r="E9" s="396" t="s">
        <v>200</v>
      </c>
      <c r="F9" s="396" t="s">
        <v>157</v>
      </c>
      <c r="G9" s="396" t="s">
        <v>158</v>
      </c>
      <c r="H9" s="396" t="s">
        <v>158</v>
      </c>
      <c r="I9" s="396" t="s">
        <v>158</v>
      </c>
      <c r="J9" s="396" t="s">
        <v>158</v>
      </c>
      <c r="K9" s="396" t="s">
        <v>33</v>
      </c>
      <c r="M9" s="396" t="s">
        <v>199</v>
      </c>
      <c r="N9" s="396" t="s">
        <v>200</v>
      </c>
      <c r="O9" s="396" t="s">
        <v>157</v>
      </c>
      <c r="P9" s="396" t="s">
        <v>158</v>
      </c>
      <c r="Q9" s="396" t="s">
        <v>33</v>
      </c>
      <c r="S9" s="396" t="s">
        <v>169</v>
      </c>
      <c r="W9" s="396" t="s">
        <v>169</v>
      </c>
    </row>
    <row r="10" spans="1:23" x14ac:dyDescent="0.25">
      <c r="A10" s="49">
        <v>1</v>
      </c>
      <c r="B10" s="49">
        <v>2015</v>
      </c>
      <c r="C10" s="49">
        <v>2018</v>
      </c>
      <c r="D10" s="394">
        <v>26500896.923967961</v>
      </c>
      <c r="E10" s="394">
        <f>-1950558-946873</f>
        <v>-2897431</v>
      </c>
      <c r="F10" s="394">
        <v>406782.10456339689</v>
      </c>
      <c r="G10" s="394"/>
      <c r="H10" s="394"/>
      <c r="I10" s="394"/>
      <c r="J10" s="394"/>
      <c r="K10" s="184">
        <v>340833056.52751446</v>
      </c>
      <c r="M10" s="394">
        <v>26500896.923967961</v>
      </c>
      <c r="N10" s="394">
        <v>-1950557.7507914088</v>
      </c>
      <c r="O10" s="394">
        <v>2183731.2886192543</v>
      </c>
      <c r="P10" s="394">
        <v>3177327.2991134506</v>
      </c>
      <c r="Q10" s="394">
        <v>312494099.52600002</v>
      </c>
      <c r="S10" s="51">
        <f>K10-Q10</f>
        <v>28338957.001514435</v>
      </c>
      <c r="U10" s="394">
        <v>312494099.52600002</v>
      </c>
      <c r="W10" s="51">
        <f>K10-U10</f>
        <v>28338957.001514435</v>
      </c>
    </row>
    <row r="11" spans="1:23" x14ac:dyDescent="0.25">
      <c r="A11" s="49">
        <v>2</v>
      </c>
      <c r="B11" s="49">
        <f>B10+1</f>
        <v>2016</v>
      </c>
      <c r="C11" s="49">
        <v>2019</v>
      </c>
      <c r="D11" s="394">
        <v>27295923.831687011</v>
      </c>
      <c r="E11" s="394">
        <v>-3013611.7249727263</v>
      </c>
      <c r="F11" s="394">
        <v>837971.13540059759</v>
      </c>
      <c r="G11" s="394">
        <v>642293.10703789792</v>
      </c>
      <c r="H11" s="394">
        <v>191367.51339918928</v>
      </c>
      <c r="I11" s="394">
        <v>183340.37866438099</v>
      </c>
      <c r="J11" s="394">
        <v>353691.14988599217</v>
      </c>
      <c r="K11" s="184">
        <v>367150583.68455803</v>
      </c>
      <c r="M11" s="394">
        <v>27295923.831687011</v>
      </c>
      <c r="N11" s="394">
        <v>-3013611.7249727263</v>
      </c>
      <c r="O11" s="394">
        <v>2249243.2272778312</v>
      </c>
      <c r="P11" s="394">
        <v>3272647.1180868535</v>
      </c>
      <c r="Q11" s="394">
        <v>369997192.79647946</v>
      </c>
      <c r="S11" s="51">
        <f t="shared" ref="S11:S40" si="0">K11-Q11</f>
        <v>-2846609.1119214296</v>
      </c>
      <c r="U11" s="394">
        <v>434279649.85544449</v>
      </c>
      <c r="W11" s="51">
        <f>K11-U11</f>
        <v>-67129066.170886457</v>
      </c>
    </row>
    <row r="12" spans="1:23" x14ac:dyDescent="0.25">
      <c r="A12" s="49">
        <v>3</v>
      </c>
      <c r="B12" s="49">
        <f t="shared" ref="B12:B39" si="1">B11+1</f>
        <v>2017</v>
      </c>
      <c r="C12" s="49">
        <v>2020</v>
      </c>
      <c r="D12" s="394">
        <v>28114801.546637621</v>
      </c>
      <c r="E12" s="394">
        <v>-4138693.4356292109</v>
      </c>
      <c r="F12" s="394">
        <v>1294665.4041939231</v>
      </c>
      <c r="G12" s="394">
        <v>1323123.8004980697</v>
      </c>
      <c r="H12" s="394">
        <v>394217.07760232995</v>
      </c>
      <c r="I12" s="394">
        <v>377681.18004862487</v>
      </c>
      <c r="J12" s="394">
        <v>728603.76876514393</v>
      </c>
      <c r="K12" s="184">
        <v>367643095.24685591</v>
      </c>
      <c r="M12" s="394">
        <v>28114801.546637621</v>
      </c>
      <c r="N12" s="394">
        <v>-4138693.4356292109</v>
      </c>
      <c r="O12" s="394">
        <v>2316720.5240961658</v>
      </c>
      <c r="P12" s="394">
        <v>3370826.5316294585</v>
      </c>
      <c r="Q12" s="394">
        <v>362266050.5993067</v>
      </c>
      <c r="S12" s="51">
        <f t="shared" si="0"/>
        <v>5377044.647549212</v>
      </c>
      <c r="U12" s="394">
        <v>425936851.41765678</v>
      </c>
      <c r="W12" s="51">
        <f t="shared" ref="W12:W40" si="2">K12-U12</f>
        <v>-58293756.170800865</v>
      </c>
    </row>
    <row r="13" spans="1:23" x14ac:dyDescent="0.25">
      <c r="A13" s="49">
        <v>4</v>
      </c>
      <c r="B13" s="49">
        <f t="shared" si="1"/>
        <v>2018</v>
      </c>
      <c r="C13" s="49">
        <v>2021</v>
      </c>
      <c r="D13" s="394">
        <v>28958245.593036748</v>
      </c>
      <c r="E13" s="394">
        <v>-5328567.7983726095</v>
      </c>
      <c r="F13" s="394">
        <v>1778007.1550929879</v>
      </c>
      <c r="G13" s="394">
        <v>2044226.2717695176</v>
      </c>
      <c r="H13" s="394">
        <v>609065.38489559968</v>
      </c>
      <c r="I13" s="394">
        <v>583517.42317512538</v>
      </c>
      <c r="J13" s="394">
        <v>1125692.8227421474</v>
      </c>
      <c r="K13" s="184">
        <v>366762627.61675411</v>
      </c>
      <c r="M13" s="394">
        <v>28958245.593036748</v>
      </c>
      <c r="N13" s="394">
        <v>-5328567.7983726095</v>
      </c>
      <c r="O13" s="394">
        <v>2386222.1398190507</v>
      </c>
      <c r="P13" s="394">
        <v>3471951.3275783425</v>
      </c>
      <c r="Q13" s="394">
        <v>353949154.10671079</v>
      </c>
      <c r="S13" s="51">
        <f t="shared" si="0"/>
        <v>12813473.510043323</v>
      </c>
      <c r="U13" s="394">
        <v>416841823.48945093</v>
      </c>
      <c r="W13" s="51">
        <f t="shared" si="2"/>
        <v>-50079195.872696817</v>
      </c>
    </row>
    <row r="14" spans="1:23" x14ac:dyDescent="0.25">
      <c r="A14" s="49">
        <v>5</v>
      </c>
      <c r="B14" s="49">
        <f t="shared" si="1"/>
        <v>2019</v>
      </c>
      <c r="C14" s="49">
        <v>2022</v>
      </c>
      <c r="D14" s="394">
        <v>29826992.960827854</v>
      </c>
      <c r="E14" s="394">
        <v>-5488424.8323237868</v>
      </c>
      <c r="F14" s="394">
        <v>2289184.2121822219</v>
      </c>
      <c r="G14" s="394">
        <v>2807404.0798968044</v>
      </c>
      <c r="H14" s="394">
        <v>836449.79525662365</v>
      </c>
      <c r="I14" s="394">
        <v>801363.92782717221</v>
      </c>
      <c r="J14" s="394">
        <v>1545951.4765658823</v>
      </c>
      <c r="K14" s="184">
        <v>364128183.03709567</v>
      </c>
      <c r="M14" s="394">
        <v>29826992.960827854</v>
      </c>
      <c r="N14" s="394">
        <v>-5488424.8323237868</v>
      </c>
      <c r="O14" s="394">
        <v>2457808.8040136229</v>
      </c>
      <c r="P14" s="394">
        <v>3576109.8674056935</v>
      </c>
      <c r="Q14" s="394">
        <v>345034828.78475273</v>
      </c>
      <c r="S14" s="51">
        <f t="shared" si="0"/>
        <v>19093354.252342939</v>
      </c>
      <c r="U14" s="394">
        <v>406969457.92877197</v>
      </c>
      <c r="W14" s="51">
        <f t="shared" si="2"/>
        <v>-42841274.891676307</v>
      </c>
    </row>
    <row r="15" spans="1:23" x14ac:dyDescent="0.25">
      <c r="A15" s="49">
        <v>6</v>
      </c>
      <c r="B15" s="49">
        <f t="shared" si="1"/>
        <v>2020</v>
      </c>
      <c r="C15" s="49">
        <v>2023</v>
      </c>
      <c r="D15" s="394">
        <v>30721802.74965268</v>
      </c>
      <c r="E15" s="394">
        <v>-5653077.5772935012</v>
      </c>
      <c r="F15" s="394">
        <v>2357859.7385476884</v>
      </c>
      <c r="G15" s="394">
        <v>3614532.7528671357</v>
      </c>
      <c r="H15" s="394">
        <v>1076929.1113929029</v>
      </c>
      <c r="I15" s="394">
        <v>1031756.0570774841</v>
      </c>
      <c r="J15" s="394">
        <v>1990412.5260785732</v>
      </c>
      <c r="K15" s="184">
        <v>358320971.65319103</v>
      </c>
      <c r="M15" s="394">
        <v>30721802.74965268</v>
      </c>
      <c r="N15" s="394">
        <v>-5653077.5772935012</v>
      </c>
      <c r="O15" s="394">
        <v>2531543.0681340313</v>
      </c>
      <c r="P15" s="394">
        <v>3683393.1634278637</v>
      </c>
      <c r="Q15" s="394">
        <v>335512512.81073916</v>
      </c>
      <c r="S15" s="51">
        <f t="shared" si="0"/>
        <v>22808458.84245187</v>
      </c>
      <c r="U15" s="394">
        <v>396294890.95507085</v>
      </c>
      <c r="W15" s="51">
        <f t="shared" si="2"/>
        <v>-37973919.301879823</v>
      </c>
    </row>
    <row r="16" spans="1:23" x14ac:dyDescent="0.25">
      <c r="A16" s="49">
        <v>7</v>
      </c>
      <c r="B16" s="49">
        <f t="shared" si="1"/>
        <v>2021</v>
      </c>
      <c r="C16" s="49">
        <v>2024</v>
      </c>
      <c r="D16" s="394">
        <v>31643456.83214226</v>
      </c>
      <c r="E16" s="394">
        <v>-5822669.9046123065</v>
      </c>
      <c r="F16" s="394">
        <v>2428595.5307041192</v>
      </c>
      <c r="G16" s="394">
        <v>3722968.7354531493</v>
      </c>
      <c r="H16" s="394">
        <v>1109236.9847346898</v>
      </c>
      <c r="I16" s="394">
        <v>1062708.7387898085</v>
      </c>
      <c r="J16" s="394">
        <v>2050124.9018609303</v>
      </c>
      <c r="K16" s="184">
        <v>349443369.27674747</v>
      </c>
      <c r="M16" s="394">
        <v>31643456.83214226</v>
      </c>
      <c r="N16" s="394">
        <v>-5822669.9046123065</v>
      </c>
      <c r="O16" s="394">
        <v>2607489.3601780529</v>
      </c>
      <c r="P16" s="394">
        <v>3793894.9583307002</v>
      </c>
      <c r="Q16" s="394">
        <v>324234830.12538731</v>
      </c>
      <c r="S16" s="51">
        <f t="shared" si="0"/>
        <v>25208539.151360154</v>
      </c>
      <c r="U16" s="394">
        <v>383655525.72892904</v>
      </c>
      <c r="W16" s="51">
        <f t="shared" si="2"/>
        <v>-34212156.452181578</v>
      </c>
    </row>
    <row r="17" spans="1:23" x14ac:dyDescent="0.25">
      <c r="A17" s="49">
        <v>8</v>
      </c>
      <c r="B17" s="49">
        <f t="shared" si="1"/>
        <v>2022</v>
      </c>
      <c r="C17" s="49">
        <v>2025</v>
      </c>
      <c r="D17" s="394">
        <v>32592760.537106529</v>
      </c>
      <c r="E17" s="394">
        <v>-5997350.001750675</v>
      </c>
      <c r="F17" s="394">
        <v>2501453.3966252427</v>
      </c>
      <c r="G17" s="394">
        <v>3834657.7975167441</v>
      </c>
      <c r="H17" s="394">
        <v>1142514.0942767307</v>
      </c>
      <c r="I17" s="394">
        <v>1094590.000953503</v>
      </c>
      <c r="J17" s="394">
        <v>2111628.6489167581</v>
      </c>
      <c r="K17" s="184">
        <v>338141682.04542255</v>
      </c>
      <c r="M17" s="394">
        <v>32592760.537106529</v>
      </c>
      <c r="N17" s="394">
        <v>-5997350.001750675</v>
      </c>
      <c r="O17" s="394">
        <v>2685714.0409833938</v>
      </c>
      <c r="P17" s="394">
        <v>3907711.8070806223</v>
      </c>
      <c r="Q17" s="394">
        <v>311040348.77309704</v>
      </c>
      <c r="S17" s="51">
        <f t="shared" si="0"/>
        <v>27101333.272325516</v>
      </c>
      <c r="U17" s="394">
        <v>368873737.52594012</v>
      </c>
      <c r="W17" s="51">
        <f t="shared" si="2"/>
        <v>-30732055.480517566</v>
      </c>
    </row>
    <row r="18" spans="1:23" x14ac:dyDescent="0.25">
      <c r="A18" s="49">
        <v>9</v>
      </c>
      <c r="B18" s="49">
        <f t="shared" si="1"/>
        <v>2023</v>
      </c>
      <c r="C18" s="49">
        <v>2026</v>
      </c>
      <c r="D18" s="394">
        <v>33570543.353219725</v>
      </c>
      <c r="E18" s="394">
        <v>-6177270.5018031951</v>
      </c>
      <c r="F18" s="394">
        <v>2576496.9985239999</v>
      </c>
      <c r="G18" s="394">
        <v>3949697.5314422469</v>
      </c>
      <c r="H18" s="394">
        <v>1176789.5171050327</v>
      </c>
      <c r="I18" s="394">
        <v>1127427.700982108</v>
      </c>
      <c r="J18" s="394">
        <v>2174977.5083842613</v>
      </c>
      <c r="K18" s="184">
        <v>324399480.2101782</v>
      </c>
      <c r="M18" s="394">
        <v>33570543.353219725</v>
      </c>
      <c r="N18" s="394">
        <v>-6177270.5018031951</v>
      </c>
      <c r="O18" s="394">
        <v>2766285.462212896</v>
      </c>
      <c r="P18" s="394">
        <v>4024943.1612930405</v>
      </c>
      <c r="Q18" s="394">
        <v>295754737.96170127</v>
      </c>
      <c r="S18" s="51">
        <f t="shared" si="0"/>
        <v>28644742.248476923</v>
      </c>
      <c r="U18" s="394">
        <v>351757974.80726939</v>
      </c>
      <c r="W18" s="51">
        <f t="shared" si="2"/>
        <v>-27358494.597091198</v>
      </c>
    </row>
    <row r="19" spans="1:23" x14ac:dyDescent="0.25">
      <c r="A19" s="49">
        <v>10</v>
      </c>
      <c r="B19" s="49">
        <f t="shared" si="1"/>
        <v>2024</v>
      </c>
      <c r="C19" s="49">
        <v>2027</v>
      </c>
      <c r="D19" s="394">
        <v>34577659.65381632</v>
      </c>
      <c r="E19" s="394">
        <v>-6362588.6168572912</v>
      </c>
      <c r="F19" s="394">
        <v>2653791.9084797199</v>
      </c>
      <c r="G19" s="394">
        <v>4068188.4573855135</v>
      </c>
      <c r="H19" s="394">
        <v>1212093.2026181836</v>
      </c>
      <c r="I19" s="394">
        <v>1161250.5320115711</v>
      </c>
      <c r="J19" s="394">
        <v>2240226.8336357889</v>
      </c>
      <c r="K19" s="184">
        <v>308460017.15959609</v>
      </c>
      <c r="M19" s="394">
        <v>34577659.65381632</v>
      </c>
      <c r="N19" s="394">
        <v>-6362588.6168572912</v>
      </c>
      <c r="O19" s="394">
        <v>2849274.0260792822</v>
      </c>
      <c r="P19" s="394">
        <v>4145691.4561318313</v>
      </c>
      <c r="Q19" s="394">
        <v>278189784.04258317</v>
      </c>
      <c r="S19" s="51">
        <f t="shared" si="0"/>
        <v>30270233.117012918</v>
      </c>
      <c r="U19" s="394">
        <v>332101716.25383109</v>
      </c>
      <c r="W19" s="51">
        <f t="shared" si="2"/>
        <v>-23641699.094235003</v>
      </c>
    </row>
    <row r="20" spans="1:23" x14ac:dyDescent="0.25">
      <c r="A20" s="49">
        <v>11</v>
      </c>
      <c r="B20" s="49">
        <f t="shared" si="1"/>
        <v>2025</v>
      </c>
      <c r="C20" s="49">
        <v>2028</v>
      </c>
      <c r="D20" s="394">
        <v>35614989.443430804</v>
      </c>
      <c r="E20" s="394">
        <v>-6553466.2753630104</v>
      </c>
      <c r="F20" s="394">
        <v>2733405.6657341113</v>
      </c>
      <c r="G20" s="394">
        <v>4190234.1111070793</v>
      </c>
      <c r="H20" s="394">
        <v>1248455.9986967291</v>
      </c>
      <c r="I20" s="394">
        <v>1196088.0479719182</v>
      </c>
      <c r="J20" s="394">
        <v>2307433.6386448625</v>
      </c>
      <c r="K20" s="184">
        <v>290123959.77182484</v>
      </c>
      <c r="M20" s="394">
        <v>35614989.443430804</v>
      </c>
      <c r="N20" s="394">
        <v>-6553466.2753630104</v>
      </c>
      <c r="O20" s="394">
        <v>2934752.2468616613</v>
      </c>
      <c r="P20" s="394">
        <v>4270062.1998157864</v>
      </c>
      <c r="Q20" s="394">
        <v>258142332.69061267</v>
      </c>
      <c r="S20" s="51">
        <f t="shared" si="0"/>
        <v>31981627.081212163</v>
      </c>
      <c r="U20" s="394">
        <v>309682350.90449971</v>
      </c>
      <c r="W20" s="51">
        <f t="shared" si="2"/>
        <v>-19558391.132674873</v>
      </c>
    </row>
    <row r="21" spans="1:23" x14ac:dyDescent="0.25">
      <c r="A21" s="49">
        <v>12</v>
      </c>
      <c r="B21" s="49">
        <f t="shared" si="1"/>
        <v>2026</v>
      </c>
      <c r="C21" s="49">
        <v>2029</v>
      </c>
      <c r="D21" s="394">
        <v>36683439.126733735</v>
      </c>
      <c r="E21" s="394">
        <v>-6750070.2636238998</v>
      </c>
      <c r="F21" s="394">
        <v>2815407.8357061348</v>
      </c>
      <c r="G21" s="394">
        <v>4315941.1344402917</v>
      </c>
      <c r="H21" s="394">
        <v>1285909.6786576309</v>
      </c>
      <c r="I21" s="394">
        <v>1231970.6894110758</v>
      </c>
      <c r="J21" s="394">
        <v>2376656.6478042081</v>
      </c>
      <c r="K21" s="184">
        <v>269176021.31487602</v>
      </c>
      <c r="M21" s="394">
        <v>36683439.126733735</v>
      </c>
      <c r="N21" s="394">
        <v>-6750070.2636238998</v>
      </c>
      <c r="O21" s="394">
        <v>3022794.8142675105</v>
      </c>
      <c r="P21" s="394">
        <v>4398164.0658102585</v>
      </c>
      <c r="Q21" s="394">
        <v>235393151.78389299</v>
      </c>
      <c r="S21" s="51">
        <f t="shared" si="0"/>
        <v>33782869.530983031</v>
      </c>
      <c r="U21" s="394">
        <v>284259975.75416148</v>
      </c>
      <c r="W21" s="51">
        <f t="shared" si="2"/>
        <v>-15083954.439285457</v>
      </c>
    </row>
    <row r="22" spans="1:23" x14ac:dyDescent="0.25">
      <c r="A22" s="49">
        <v>13</v>
      </c>
      <c r="B22" s="49">
        <f t="shared" si="1"/>
        <v>2027</v>
      </c>
      <c r="C22" s="49">
        <v>2030</v>
      </c>
      <c r="D22" s="394">
        <v>37783942.300535761</v>
      </c>
      <c r="E22" s="394">
        <v>-6952572.3715326162</v>
      </c>
      <c r="F22" s="394">
        <v>2899870.0707773184</v>
      </c>
      <c r="G22" s="394">
        <v>4445419.3684735</v>
      </c>
      <c r="H22" s="394">
        <v>1324486.9690173599</v>
      </c>
      <c r="I22" s="394">
        <v>1268929.8100934082</v>
      </c>
      <c r="J22" s="394">
        <v>2447956.3472383348</v>
      </c>
      <c r="K22" s="184">
        <v>245383737.12159413</v>
      </c>
      <c r="M22" s="394">
        <v>37783942.300535761</v>
      </c>
      <c r="N22" s="394">
        <v>-6952572.3715326162</v>
      </c>
      <c r="O22" s="394">
        <v>3113478.6586955357</v>
      </c>
      <c r="P22" s="394">
        <v>4530108.9877845673</v>
      </c>
      <c r="Q22" s="394">
        <v>209705709.07430869</v>
      </c>
      <c r="S22" s="51">
        <f t="shared" si="0"/>
        <v>35678028.047285438</v>
      </c>
      <c r="U22" s="394">
        <v>255576104.75319266</v>
      </c>
      <c r="W22" s="51">
        <f t="shared" si="2"/>
        <v>-10192367.631598532</v>
      </c>
    </row>
    <row r="23" spans="1:23" x14ac:dyDescent="0.25">
      <c r="A23" s="49">
        <v>14</v>
      </c>
      <c r="B23" s="49">
        <f t="shared" si="1"/>
        <v>2028</v>
      </c>
      <c r="C23" s="49">
        <v>2031</v>
      </c>
      <c r="D23" s="394">
        <v>38917460.569551833</v>
      </c>
      <c r="E23" s="394">
        <v>-7161149.5426785955</v>
      </c>
      <c r="F23" s="394">
        <v>2986866.1729006381</v>
      </c>
      <c r="G23" s="394">
        <v>4578781.9495277051</v>
      </c>
      <c r="H23" s="394">
        <v>1364221.5780878805</v>
      </c>
      <c r="I23" s="394">
        <v>1306997.7043962101</v>
      </c>
      <c r="J23" s="394">
        <v>2521395.0376554844</v>
      </c>
      <c r="K23" s="184">
        <v>218496147.76943845</v>
      </c>
      <c r="M23" s="394">
        <v>38917460.569551833</v>
      </c>
      <c r="N23" s="394">
        <v>-7161149.5426785955</v>
      </c>
      <c r="O23" s="394">
        <v>3206883.0184564022</v>
      </c>
      <c r="P23" s="394">
        <v>4666012.2574181044</v>
      </c>
      <c r="Q23" s="394">
        <v>180824858.30046162</v>
      </c>
      <c r="S23" s="51">
        <f t="shared" si="0"/>
        <v>37671289.468976825</v>
      </c>
      <c r="U23" s="394">
        <v>223352282.70529497</v>
      </c>
      <c r="W23" s="51">
        <f t="shared" si="2"/>
        <v>-4856134.9358565211</v>
      </c>
    </row>
    <row r="24" spans="1:23" x14ac:dyDescent="0.25">
      <c r="A24" s="49">
        <v>15</v>
      </c>
      <c r="B24" s="49">
        <f t="shared" si="1"/>
        <v>2029</v>
      </c>
      <c r="C24" s="49">
        <v>2032</v>
      </c>
      <c r="D24" s="394">
        <v>40084984.386638395</v>
      </c>
      <c r="E24" s="394">
        <v>-7375984.0289589539</v>
      </c>
      <c r="F24" s="394">
        <v>3076472.1580876573</v>
      </c>
      <c r="G24" s="394">
        <v>4716145.4080135357</v>
      </c>
      <c r="H24" s="394">
        <v>1405148.2254305168</v>
      </c>
      <c r="I24" s="394">
        <v>1346207.6355280965</v>
      </c>
      <c r="J24" s="394">
        <v>2597036.8887851485</v>
      </c>
      <c r="K24" s="184">
        <v>188242382.81939441</v>
      </c>
      <c r="M24" s="394">
        <v>40084984.386638395</v>
      </c>
      <c r="N24" s="394">
        <v>-7375984.0289589539</v>
      </c>
      <c r="O24" s="394">
        <v>3303089.5090100942</v>
      </c>
      <c r="P24" s="394">
        <v>4805992.6251406474</v>
      </c>
      <c r="Q24" s="394">
        <v>148475426.92252389</v>
      </c>
      <c r="S24" s="51">
        <f t="shared" si="0"/>
        <v>39766955.896870524</v>
      </c>
      <c r="U24" s="394">
        <v>187288597.08327836</v>
      </c>
      <c r="W24" s="51">
        <f t="shared" si="2"/>
        <v>953785.73611605167</v>
      </c>
    </row>
    <row r="25" spans="1:23" x14ac:dyDescent="0.25">
      <c r="A25" s="49">
        <v>16</v>
      </c>
      <c r="B25" s="49">
        <f t="shared" si="1"/>
        <v>2030</v>
      </c>
      <c r="C25" s="49">
        <v>2033</v>
      </c>
      <c r="D25" s="394">
        <v>41287533.918237552</v>
      </c>
      <c r="E25" s="394">
        <v>-7597263.549827721</v>
      </c>
      <c r="F25" s="394">
        <v>3168766.3228302873</v>
      </c>
      <c r="G25" s="394">
        <v>4857629.7702539423</v>
      </c>
      <c r="H25" s="394">
        <v>1447302.6721934325</v>
      </c>
      <c r="I25" s="394">
        <v>1386593.8645939396</v>
      </c>
      <c r="J25" s="394">
        <v>2674947.9954487034</v>
      </c>
      <c r="K25" s="184">
        <v>154330137.64796644</v>
      </c>
      <c r="M25" s="394">
        <v>41287533.918237552</v>
      </c>
      <c r="N25" s="394">
        <v>-7597263.549827721</v>
      </c>
      <c r="O25" s="394">
        <v>3402182.194280399</v>
      </c>
      <c r="P25" s="394">
        <v>4950172.4038948687</v>
      </c>
      <c r="Q25" s="394">
        <v>112360698.15138775</v>
      </c>
      <c r="S25" s="51">
        <f t="shared" si="0"/>
        <v>41969439.496578693</v>
      </c>
      <c r="U25" s="394">
        <v>147062080.26994759</v>
      </c>
      <c r="W25" s="51">
        <f t="shared" si="2"/>
        <v>7268057.378018856</v>
      </c>
    </row>
    <row r="26" spans="1:23" x14ac:dyDescent="0.25">
      <c r="A26" s="49">
        <v>17</v>
      </c>
      <c r="B26" s="49">
        <f t="shared" si="1"/>
        <v>2031</v>
      </c>
      <c r="C26" s="49">
        <v>2034</v>
      </c>
      <c r="D26" s="394">
        <v>42526159.935784683</v>
      </c>
      <c r="E26" s="394">
        <v>-7825181.4563225526</v>
      </c>
      <c r="F26" s="394">
        <v>3263829.3125151955</v>
      </c>
      <c r="G26" s="394">
        <v>5003358.6633615606</v>
      </c>
      <c r="H26" s="394">
        <v>1490721.7523592357</v>
      </c>
      <c r="I26" s="394">
        <v>1428191.6805317579</v>
      </c>
      <c r="J26" s="394">
        <v>2755196.4353121645</v>
      </c>
      <c r="K26" s="184">
        <v>116444035.34689276</v>
      </c>
      <c r="M26" s="394">
        <v>42526159.935784683</v>
      </c>
      <c r="N26" s="394">
        <v>-7825181.4563225526</v>
      </c>
      <c r="O26" s="394">
        <v>3504247.6601088103</v>
      </c>
      <c r="P26" s="394">
        <v>5098677.5760117136</v>
      </c>
      <c r="Q26" s="394">
        <v>72160779.399654001</v>
      </c>
      <c r="S26" s="51">
        <f t="shared" si="0"/>
        <v>44283255.947238758</v>
      </c>
      <c r="U26" s="394">
        <v>102324994.18114457</v>
      </c>
      <c r="W26" s="51">
        <f t="shared" si="2"/>
        <v>14119041.165748194</v>
      </c>
    </row>
    <row r="27" spans="1:23" x14ac:dyDescent="0.25">
      <c r="A27" s="49">
        <v>18</v>
      </c>
      <c r="B27" s="49">
        <f t="shared" si="1"/>
        <v>2032</v>
      </c>
      <c r="C27" s="49">
        <v>2035</v>
      </c>
      <c r="D27" s="394"/>
      <c r="E27" s="394">
        <v>-8059936.9000122296</v>
      </c>
      <c r="F27" s="394">
        <v>3361744.1918906514</v>
      </c>
      <c r="G27" s="394">
        <v>5153459.4232624071</v>
      </c>
      <c r="H27" s="394">
        <v>1535443.4049300123</v>
      </c>
      <c r="I27" s="394">
        <v>1471037.4309477103</v>
      </c>
      <c r="J27" s="394">
        <v>2837852.328371529</v>
      </c>
      <c r="K27" s="184">
        <v>74243865.064043686</v>
      </c>
      <c r="M27" s="394"/>
      <c r="N27" s="394">
        <v>-8059936.9000122296</v>
      </c>
      <c r="O27" s="394">
        <v>3609375.0899120742</v>
      </c>
      <c r="P27" s="394">
        <v>5251637.9032920655</v>
      </c>
      <c r="Q27" s="394">
        <v>27530848.696661256</v>
      </c>
      <c r="S27" s="51">
        <f t="shared" si="0"/>
        <v>46713016.36738243</v>
      </c>
      <c r="U27" s="394">
        <v>52702988.637443461</v>
      </c>
      <c r="W27" s="51">
        <f t="shared" si="2"/>
        <v>21540876.426600225</v>
      </c>
    </row>
    <row r="28" spans="1:23" x14ac:dyDescent="0.25">
      <c r="A28" s="49">
        <v>19</v>
      </c>
      <c r="B28" s="49">
        <f t="shared" si="1"/>
        <v>2033</v>
      </c>
      <c r="C28" s="49">
        <v>2036</v>
      </c>
      <c r="D28" s="394"/>
      <c r="E28" s="394">
        <v>-8301735.0070125964</v>
      </c>
      <c r="F28" s="394">
        <v>3462596.5176473707</v>
      </c>
      <c r="G28" s="394">
        <v>5308063.2059602793</v>
      </c>
      <c r="H28" s="394">
        <v>1581506.7070779128</v>
      </c>
      <c r="I28" s="394">
        <v>1515168.5538761416</v>
      </c>
      <c r="J28" s="394">
        <v>2922987.8982226751</v>
      </c>
      <c r="K28" s="184">
        <v>72777510.419548526</v>
      </c>
      <c r="M28" s="394"/>
      <c r="N28" s="394">
        <v>-8301735.0070125964</v>
      </c>
      <c r="O28" s="394">
        <v>3717656.3426094372</v>
      </c>
      <c r="P28" s="394">
        <v>5409187.0403908268</v>
      </c>
      <c r="Q28" s="394">
        <v>-21900730.019085351</v>
      </c>
      <c r="S28" s="51">
        <f t="shared" si="0"/>
        <v>94678240.438633874</v>
      </c>
      <c r="U28" s="394">
        <v>-2206875.7829930894</v>
      </c>
      <c r="W28" s="51">
        <f t="shared" si="2"/>
        <v>74984386.20254162</v>
      </c>
    </row>
    <row r="29" spans="1:23" x14ac:dyDescent="0.25">
      <c r="A29" s="49">
        <v>20</v>
      </c>
      <c r="B29" s="49">
        <f t="shared" si="1"/>
        <v>2034</v>
      </c>
      <c r="C29" s="49">
        <v>2037</v>
      </c>
      <c r="D29" s="394"/>
      <c r="E29" s="394">
        <v>-8550787.0572229736</v>
      </c>
      <c r="F29" s="394">
        <v>3566474.4131767917</v>
      </c>
      <c r="G29" s="394">
        <v>5467305.1021390874</v>
      </c>
      <c r="H29" s="394">
        <v>1628951.9082902502</v>
      </c>
      <c r="I29" s="394">
        <v>1560623.6104924257</v>
      </c>
      <c r="J29" s="394">
        <v>3010677.5351693551</v>
      </c>
      <c r="K29" s="184">
        <v>71002999.901256323</v>
      </c>
      <c r="M29" s="394"/>
      <c r="N29" s="394">
        <v>-8550787.0572229736</v>
      </c>
      <c r="O29" s="394">
        <v>3829186.03288772</v>
      </c>
      <c r="P29" s="394">
        <v>5571462.6516025532</v>
      </c>
      <c r="Q29" s="394">
        <v>-31119609.585545905</v>
      </c>
      <c r="S29" s="51">
        <f t="shared" si="0"/>
        <v>102122609.48680222</v>
      </c>
      <c r="U29" s="394">
        <v>-17423427.451734319</v>
      </c>
      <c r="W29" s="51">
        <f t="shared" si="2"/>
        <v>88426427.352990642</v>
      </c>
    </row>
    <row r="30" spans="1:23" x14ac:dyDescent="0.25">
      <c r="A30" s="49">
        <v>21</v>
      </c>
      <c r="B30" s="49">
        <f t="shared" si="1"/>
        <v>2035</v>
      </c>
      <c r="C30" s="49">
        <v>2038</v>
      </c>
      <c r="D30" s="394"/>
      <c r="E30" s="394">
        <v>-8807310.6689396612</v>
      </c>
      <c r="F30" s="394">
        <v>3673468.6455720956</v>
      </c>
      <c r="G30" s="394">
        <v>5631324.2552032601</v>
      </c>
      <c r="H30" s="394">
        <v>1677820.4655389576</v>
      </c>
      <c r="I30" s="394">
        <v>1607442.3188071987</v>
      </c>
      <c r="J30" s="394">
        <v>3100997.8612244357</v>
      </c>
      <c r="K30" s="184">
        <v>68892187.043567359</v>
      </c>
      <c r="M30" s="394"/>
      <c r="N30" s="394">
        <v>-8807310.6689396612</v>
      </c>
      <c r="O30" s="394">
        <v>0</v>
      </c>
      <c r="P30" s="394">
        <v>0</v>
      </c>
      <c r="Q30" s="394">
        <v>-41203548.897495806</v>
      </c>
      <c r="S30" s="51">
        <f t="shared" si="0"/>
        <v>110095735.94106317</v>
      </c>
      <c r="U30" s="394">
        <v>-34059574.764995888</v>
      </c>
      <c r="W30" s="51">
        <f t="shared" si="2"/>
        <v>102951761.80856325</v>
      </c>
    </row>
    <row r="31" spans="1:23" x14ac:dyDescent="0.25">
      <c r="A31" s="49">
        <v>22</v>
      </c>
      <c r="B31" s="49">
        <f t="shared" si="1"/>
        <v>2036</v>
      </c>
      <c r="C31" s="49">
        <v>2039</v>
      </c>
      <c r="D31" s="394"/>
      <c r="E31" s="394">
        <v>-9071529.989007853</v>
      </c>
      <c r="F31" s="394">
        <v>3783672.7049392578</v>
      </c>
      <c r="G31" s="394">
        <v>5800263.9828593573</v>
      </c>
      <c r="H31" s="394">
        <v>1728155.0795051262</v>
      </c>
      <c r="I31" s="394">
        <v>1655665.5883714145</v>
      </c>
      <c r="J31" s="394">
        <v>3194027.7970611691</v>
      </c>
      <c r="K31" s="184">
        <v>66414727.854528815</v>
      </c>
      <c r="M31" s="394"/>
      <c r="N31" s="394">
        <v>-9071529.989007853</v>
      </c>
      <c r="O31" s="394"/>
      <c r="P31" s="394"/>
      <c r="Q31" s="394">
        <v>-52218881.531535693</v>
      </c>
      <c r="S31" s="51">
        <f t="shared" si="0"/>
        <v>118633609.3860645</v>
      </c>
      <c r="U31" s="394">
        <v>-52218881.531535693</v>
      </c>
      <c r="W31" s="51">
        <f t="shared" si="2"/>
        <v>118633609.3860645</v>
      </c>
    </row>
    <row r="32" spans="1:23" x14ac:dyDescent="0.25">
      <c r="A32" s="49">
        <v>23</v>
      </c>
      <c r="B32" s="49">
        <f t="shared" si="1"/>
        <v>2037</v>
      </c>
      <c r="C32" s="49">
        <v>2040</v>
      </c>
      <c r="D32" s="394"/>
      <c r="E32" s="394">
        <v>-9343675.8886780888</v>
      </c>
      <c r="F32" s="394">
        <v>3897182.8860874362</v>
      </c>
      <c r="G32" s="394">
        <v>5974271.9023451377</v>
      </c>
      <c r="H32" s="394">
        <v>1779999.7318902798</v>
      </c>
      <c r="I32" s="394">
        <v>1705335.5560225567</v>
      </c>
      <c r="J32" s="394">
        <v>3289848.6309730033</v>
      </c>
      <c r="K32" s="184">
        <v>63537917.975731321</v>
      </c>
      <c r="M32" s="394"/>
      <c r="N32" s="394">
        <v>-9343675.8886780888</v>
      </c>
      <c r="O32" s="394"/>
      <c r="P32" s="394"/>
      <c r="Q32" s="394">
        <v>-47003683.588050626</v>
      </c>
      <c r="S32" s="51">
        <f t="shared" si="0"/>
        <v>110541601.56378195</v>
      </c>
      <c r="U32" s="394">
        <v>-47003683.588050626</v>
      </c>
      <c r="W32" s="51">
        <f t="shared" si="2"/>
        <v>110541601.56378195</v>
      </c>
    </row>
    <row r="33" spans="1:23" x14ac:dyDescent="0.25">
      <c r="A33" s="49">
        <v>24</v>
      </c>
      <c r="B33" s="49">
        <f t="shared" si="1"/>
        <v>2038</v>
      </c>
      <c r="C33" s="49">
        <v>2041</v>
      </c>
      <c r="D33" s="394"/>
      <c r="E33" s="394">
        <v>-9623986.1653384306</v>
      </c>
      <c r="F33" s="394">
        <v>4014098.3726700596</v>
      </c>
      <c r="G33" s="394">
        <v>6153500.0594154922</v>
      </c>
      <c r="H33" s="394">
        <v>1833399.7238469885</v>
      </c>
      <c r="I33" s="394">
        <v>1756495.6227032335</v>
      </c>
      <c r="J33" s="394">
        <v>3388544.0899021938</v>
      </c>
      <c r="K33" s="184">
        <v>60226518.012425862</v>
      </c>
      <c r="M33" s="394"/>
      <c r="N33" s="394">
        <v>-9623986.1653384306</v>
      </c>
      <c r="O33" s="394"/>
      <c r="P33" s="394"/>
      <c r="Q33" s="394">
        <v>-41123397.377053678</v>
      </c>
      <c r="S33" s="51">
        <f t="shared" si="0"/>
        <v>101349915.38947955</v>
      </c>
      <c r="U33" s="394">
        <v>-41123397.377053678</v>
      </c>
      <c r="W33" s="51">
        <f t="shared" si="2"/>
        <v>101349915.38947955</v>
      </c>
    </row>
    <row r="34" spans="1:23" x14ac:dyDescent="0.25">
      <c r="A34" s="49">
        <v>25</v>
      </c>
      <c r="B34" s="49">
        <f t="shared" si="1"/>
        <v>2039</v>
      </c>
      <c r="C34" s="49">
        <v>2042</v>
      </c>
      <c r="D34" s="394"/>
      <c r="E34" s="394">
        <v>-9912705.750298582</v>
      </c>
      <c r="F34" s="394">
        <v>4134521.3238501605</v>
      </c>
      <c r="G34" s="394">
        <v>6338105.061197957</v>
      </c>
      <c r="H34" s="394">
        <v>1888401.7155623981</v>
      </c>
      <c r="I34" s="394">
        <v>1809190.4913843307</v>
      </c>
      <c r="J34" s="394">
        <v>3490200.41259926</v>
      </c>
      <c r="K34" s="184">
        <v>56442566.181100264</v>
      </c>
      <c r="M34" s="394"/>
      <c r="N34" s="394">
        <v>-9912705.750298582</v>
      </c>
      <c r="O34" s="394"/>
      <c r="P34" s="394"/>
      <c r="Q34" s="394">
        <v>-34519922.825828925</v>
      </c>
      <c r="S34" s="51">
        <f t="shared" si="0"/>
        <v>90962489.006929189</v>
      </c>
      <c r="U34" s="394">
        <v>-34519922.825828925</v>
      </c>
      <c r="W34" s="51">
        <f t="shared" si="2"/>
        <v>90962489.006929189</v>
      </c>
    </row>
    <row r="35" spans="1:23" x14ac:dyDescent="0.25">
      <c r="A35" s="49">
        <v>26</v>
      </c>
      <c r="B35" s="49">
        <f t="shared" si="1"/>
        <v>2040</v>
      </c>
      <c r="C35" s="49">
        <v>2043</v>
      </c>
      <c r="D35" s="394"/>
      <c r="E35" s="394">
        <v>-8168069.5382460346</v>
      </c>
      <c r="F35" s="394">
        <v>4258556.9635656653</v>
      </c>
      <c r="G35" s="394">
        <v>6528248.213033895</v>
      </c>
      <c r="H35" s="394">
        <v>1945053.7670292698</v>
      </c>
      <c r="I35" s="394">
        <v>1863466.2061258603</v>
      </c>
      <c r="J35" s="394">
        <v>3594906.4249772374</v>
      </c>
      <c r="K35" s="184">
        <v>52145177.360461786</v>
      </c>
      <c r="M35" s="394"/>
      <c r="N35" s="394">
        <v>-8168069.5382460346</v>
      </c>
      <c r="O35" s="394"/>
      <c r="P35" s="394"/>
      <c r="Q35" s="394">
        <v>-27130555.802627213</v>
      </c>
      <c r="S35" s="51">
        <f t="shared" si="0"/>
        <v>79275733.163089007</v>
      </c>
      <c r="U35" s="394">
        <v>-27130555.802627213</v>
      </c>
      <c r="W35" s="51">
        <f t="shared" si="2"/>
        <v>79275733.163089007</v>
      </c>
    </row>
    <row r="36" spans="1:23" x14ac:dyDescent="0.25">
      <c r="A36" s="49">
        <v>27</v>
      </c>
      <c r="B36" s="49">
        <f t="shared" si="1"/>
        <v>2041</v>
      </c>
      <c r="C36" s="49">
        <v>2044</v>
      </c>
      <c r="D36" s="394"/>
      <c r="E36" s="394">
        <v>-6309833.7182950601</v>
      </c>
      <c r="F36" s="394">
        <v>3509050.9379781093</v>
      </c>
      <c r="G36" s="394">
        <v>6724095.6594249122</v>
      </c>
      <c r="H36" s="394">
        <v>2003405.3800401478</v>
      </c>
      <c r="I36" s="394">
        <v>1919370.1923096362</v>
      </c>
      <c r="J36" s="394">
        <v>3702753.6177265542</v>
      </c>
      <c r="K36" s="184">
        <v>45173118.879206084</v>
      </c>
      <c r="M36" s="394"/>
      <c r="N36" s="394">
        <v>-6309833.7182950601</v>
      </c>
      <c r="O36" s="394"/>
      <c r="P36" s="394"/>
      <c r="Q36" s="394">
        <v>-18887635.415631205</v>
      </c>
      <c r="S36" s="51">
        <f t="shared" si="0"/>
        <v>64060754.294837289</v>
      </c>
      <c r="U36" s="394">
        <v>-18887635.415631205</v>
      </c>
      <c r="W36" s="51">
        <f t="shared" si="2"/>
        <v>64060754.294837289</v>
      </c>
    </row>
    <row r="37" spans="1:23" x14ac:dyDescent="0.25">
      <c r="A37" s="49">
        <v>28</v>
      </c>
      <c r="B37" s="49">
        <f t="shared" si="1"/>
        <v>2042</v>
      </c>
      <c r="C37" s="49">
        <v>2045</v>
      </c>
      <c r="D37" s="394"/>
      <c r="E37" s="394">
        <v>-4332752.4865626087</v>
      </c>
      <c r="F37" s="394">
        <v>2710741.8495880882</v>
      </c>
      <c r="G37" s="394">
        <v>5540654.8233661279</v>
      </c>
      <c r="H37" s="394">
        <v>1650806.0331530822</v>
      </c>
      <c r="I37" s="394">
        <v>1581561.0384631406</v>
      </c>
      <c r="J37" s="394">
        <v>3051068.9810066815</v>
      </c>
      <c r="K37" s="184">
        <v>36102738.927437723</v>
      </c>
      <c r="M37" s="394"/>
      <c r="N37" s="394">
        <v>-4332752.4865626087</v>
      </c>
      <c r="O37" s="394"/>
      <c r="P37" s="394"/>
      <c r="Q37" s="394">
        <v>-11835373.324316468</v>
      </c>
      <c r="S37" s="51">
        <f t="shared" si="0"/>
        <v>47938112.251754194</v>
      </c>
      <c r="U37" s="394">
        <v>-11835373.324316468</v>
      </c>
      <c r="W37" s="51">
        <f t="shared" si="2"/>
        <v>47938112.251754194</v>
      </c>
    </row>
    <row r="38" spans="1:23" x14ac:dyDescent="0.25">
      <c r="A38" s="49">
        <v>29</v>
      </c>
      <c r="B38" s="49">
        <f t="shared" si="1"/>
        <v>2043</v>
      </c>
      <c r="C38" s="49">
        <v>2046</v>
      </c>
      <c r="D38" s="394"/>
      <c r="E38" s="394">
        <v>-2231367.530579743</v>
      </c>
      <c r="F38" s="394">
        <v>1861376.0700504878</v>
      </c>
      <c r="G38" s="394">
        <v>4280155.8510503331</v>
      </c>
      <c r="H38" s="394">
        <v>1275247.6606107557</v>
      </c>
      <c r="I38" s="394">
        <v>1221755.9022127758</v>
      </c>
      <c r="J38" s="394">
        <v>2356950.7878276608</v>
      </c>
      <c r="K38" s="184">
        <v>26556658.014916226</v>
      </c>
      <c r="M38" s="394"/>
      <c r="N38" s="394">
        <v>-2231367.530579743</v>
      </c>
      <c r="O38" s="394"/>
      <c r="P38" s="394"/>
      <c r="Q38" s="394">
        <v>-6180851.4812064385</v>
      </c>
      <c r="S38" s="51">
        <f t="shared" si="0"/>
        <v>32737509.496122666</v>
      </c>
      <c r="U38" s="394">
        <v>-6180851.4812064385</v>
      </c>
      <c r="W38" s="51">
        <f t="shared" si="2"/>
        <v>32737509.496122666</v>
      </c>
    </row>
    <row r="39" spans="1:23" x14ac:dyDescent="0.25">
      <c r="A39" s="49">
        <v>30</v>
      </c>
      <c r="B39" s="49">
        <f t="shared" si="1"/>
        <v>2044</v>
      </c>
      <c r="C39" s="49">
        <v>2047</v>
      </c>
      <c r="D39" s="394"/>
      <c r="E39" s="394"/>
      <c r="F39" s="394">
        <v>958608.67607600102</v>
      </c>
      <c r="G39" s="394">
        <v>2939040.3510545623</v>
      </c>
      <c r="H39" s="394">
        <v>875670.06028605241</v>
      </c>
      <c r="I39" s="394">
        <v>838939.05285277276</v>
      </c>
      <c r="J39" s="394">
        <v>1618439.540974994</v>
      </c>
      <c r="K39" s="184">
        <v>16961770.902150847</v>
      </c>
      <c r="M39" s="394"/>
      <c r="N39" s="394"/>
      <c r="O39" s="394"/>
      <c r="P39" s="394"/>
      <c r="Q39" s="394">
        <v>-2152121.9504924035</v>
      </c>
      <c r="S39" s="51">
        <f t="shared" si="0"/>
        <v>19113892.852643251</v>
      </c>
      <c r="U39" s="394">
        <v>-2152121.9504924035</v>
      </c>
      <c r="W39" s="51">
        <f t="shared" si="2"/>
        <v>19113892.852643251</v>
      </c>
    </row>
    <row r="40" spans="1:23" x14ac:dyDescent="0.25">
      <c r="A40" s="49">
        <f>A39+1</f>
        <v>31</v>
      </c>
      <c r="D40" s="394"/>
      <c r="E40" s="394"/>
      <c r="F40" s="394"/>
      <c r="G40" s="394">
        <v>1513605.7807930997</v>
      </c>
      <c r="H40" s="394">
        <v>450970.08104731695</v>
      </c>
      <c r="I40" s="394">
        <v>432053.61221917794</v>
      </c>
      <c r="J40" s="394">
        <v>833496.36360212183</v>
      </c>
      <c r="K40" s="184">
        <v>8268185.1140930634</v>
      </c>
      <c r="M40" s="394"/>
      <c r="N40" s="394"/>
      <c r="O40" s="394"/>
      <c r="P40" s="394"/>
      <c r="Q40" s="394">
        <v>0</v>
      </c>
      <c r="S40" s="51">
        <f t="shared" si="0"/>
        <v>8268185.1140930634</v>
      </c>
      <c r="U40" s="394">
        <v>0</v>
      </c>
      <c r="W40" s="51">
        <f t="shared" si="2"/>
        <v>8268185.1140930634</v>
      </c>
    </row>
    <row r="41" spans="1:23" x14ac:dyDescent="0.25">
      <c r="A41" s="49">
        <f>A40+1</f>
        <v>32</v>
      </c>
      <c r="D41" s="459"/>
      <c r="E41" s="459"/>
      <c r="F41" s="459"/>
      <c r="G41" s="459"/>
      <c r="H41" s="459"/>
      <c r="I41" s="459"/>
      <c r="J41" s="459"/>
      <c r="K41" s="459"/>
      <c r="L41" s="459"/>
      <c r="M41" s="459"/>
      <c r="N41" s="459"/>
      <c r="O41" s="459"/>
      <c r="P41" s="459"/>
      <c r="Q41" s="459"/>
      <c r="R41" s="459"/>
      <c r="S41" s="459"/>
      <c r="T41" s="459"/>
      <c r="U41" s="459"/>
    </row>
    <row r="42" spans="1:23" x14ac:dyDescent="0.25">
      <c r="D42" s="50" t="s">
        <v>206</v>
      </c>
      <c r="K42" s="51">
        <f>SUM(K10:K41)</f>
        <v>5686225429.9003677</v>
      </c>
      <c r="M42" s="51"/>
      <c r="N42" s="51"/>
      <c r="O42" s="51"/>
      <c r="P42" s="51"/>
      <c r="Q42" s="51">
        <f>SUM(Q10:Q41)</f>
        <v>4197791032.7473912</v>
      </c>
      <c r="U42" s="51">
        <f>SUM(U10:U41)</f>
        <v>5096712800.4808617</v>
      </c>
    </row>
    <row r="43" spans="1:23" x14ac:dyDescent="0.25">
      <c r="D43" s="50" t="s">
        <v>208</v>
      </c>
      <c r="Q43" s="51">
        <f>K42-Q42</f>
        <v>1488434397.1529765</v>
      </c>
      <c r="U43" s="51">
        <f>SUM(W10:W41)</f>
        <v>589512629.41950703</v>
      </c>
    </row>
    <row r="44" spans="1:23" x14ac:dyDescent="0.25">
      <c r="D44" s="50" t="s">
        <v>205</v>
      </c>
      <c r="Q44" s="51">
        <f>NPV(0.03,S10:S40)</f>
        <v>857555280.41792774</v>
      </c>
      <c r="S44" s="51"/>
      <c r="U44" s="51">
        <f>NPV(0.03,W10:W40)</f>
        <v>168393256.01450455</v>
      </c>
      <c r="W44" s="51"/>
    </row>
    <row r="45" spans="1:23" ht="7.5" customHeight="1" x14ac:dyDescent="0.25"/>
    <row r="46" spans="1:23" x14ac:dyDescent="0.25">
      <c r="D46" s="50" t="s">
        <v>188</v>
      </c>
      <c r="K46" s="105">
        <f>K42/315058648</f>
        <v>18.048149022401592</v>
      </c>
      <c r="L46" s="105"/>
      <c r="M46" s="105"/>
      <c r="N46" s="105"/>
      <c r="O46" s="105"/>
      <c r="P46" s="105"/>
      <c r="Q46" s="105">
        <f>Q42/315058648</f>
        <v>13.323840051352569</v>
      </c>
      <c r="R46" s="105"/>
      <c r="S46" s="105"/>
      <c r="T46" s="105"/>
      <c r="U46" s="105">
        <f>U42/315058648</f>
        <v>16.177028730475801</v>
      </c>
    </row>
    <row r="47" spans="1:23" ht="8.25" customHeight="1" x14ac:dyDescent="0.25"/>
    <row r="48" spans="1:23" x14ac:dyDescent="0.25">
      <c r="D48" s="50" t="s">
        <v>207</v>
      </c>
      <c r="K48" s="105">
        <f>(K42-315058648)/K42</f>
        <v>0.94459265608020038</v>
      </c>
      <c r="Q48" s="105">
        <f>(Q42-315058648)/Q42</f>
        <v>0.92494656224137983</v>
      </c>
      <c r="U48" s="105">
        <f>(U42-315058648)/U42</f>
        <v>0.93818395104188035</v>
      </c>
    </row>
  </sheetData>
  <mergeCells count="3">
    <mergeCell ref="D5:W5"/>
    <mergeCell ref="D7:K7"/>
    <mergeCell ref="M7:S7"/>
  </mergeCells>
  <pageMargins left="0.25" right="0.25" top="0.75" bottom="0.75" header="0.3" footer="0.3"/>
  <pageSetup scale="7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Z121"/>
  <sheetViews>
    <sheetView zoomScale="85" zoomScaleNormal="85" workbookViewId="0">
      <selection activeCell="F31" sqref="F31"/>
    </sheetView>
  </sheetViews>
  <sheetFormatPr defaultRowHeight="15" x14ac:dyDescent="0.25"/>
  <cols>
    <col min="1" max="1" width="14.5703125" bestFit="1" customWidth="1"/>
    <col min="3" max="3" width="12.5703125" bestFit="1" customWidth="1"/>
    <col min="4" max="5" width="18.7109375" style="50" bestFit="1" customWidth="1"/>
    <col min="6" max="6" width="18.7109375" style="50" customWidth="1"/>
    <col min="7" max="8" width="21" style="50" bestFit="1" customWidth="1"/>
    <col min="9" max="9" width="18.7109375" style="50" bestFit="1" customWidth="1"/>
    <col min="10" max="10" width="17.7109375" style="50" bestFit="1" customWidth="1"/>
    <col min="11" max="11" width="17.7109375" style="50" customWidth="1"/>
    <col min="12" max="12" width="15.42578125" style="50" bestFit="1" customWidth="1"/>
    <col min="13" max="13" width="17.28515625" style="50" bestFit="1" customWidth="1"/>
    <col min="14" max="15" width="13.28515625" style="50" customWidth="1"/>
    <col min="16" max="16" width="18.7109375" style="50" bestFit="1" customWidth="1"/>
    <col min="17" max="17" width="14.28515625" style="50" bestFit="1" customWidth="1"/>
    <col min="18" max="18" width="8.85546875" style="50"/>
    <col min="21" max="21" width="14.85546875" bestFit="1" customWidth="1"/>
    <col min="22" max="26" width="15" customWidth="1"/>
  </cols>
  <sheetData>
    <row r="1" spans="1:26" x14ac:dyDescent="0.25">
      <c r="A1" s="478" t="s">
        <v>263</v>
      </c>
    </row>
    <row r="2" spans="1:26" ht="15.75" thickBot="1" x14ac:dyDescent="0.3">
      <c r="H2" s="487"/>
      <c r="M2" s="487"/>
    </row>
    <row r="3" spans="1:26" ht="15.75" thickBot="1" x14ac:dyDescent="0.3">
      <c r="A3" s="584" t="s">
        <v>50</v>
      </c>
      <c r="B3" s="585"/>
      <c r="C3" s="586"/>
      <c r="D3" s="587" t="s">
        <v>238</v>
      </c>
      <c r="E3" s="588"/>
      <c r="F3" s="588"/>
      <c r="G3" s="588"/>
      <c r="H3" s="589"/>
      <c r="I3" s="587" t="s">
        <v>239</v>
      </c>
      <c r="J3" s="588"/>
      <c r="K3" s="588"/>
      <c r="L3" s="588"/>
      <c r="M3" s="589"/>
      <c r="N3" s="587" t="s">
        <v>242</v>
      </c>
      <c r="O3" s="588"/>
      <c r="P3" s="588"/>
      <c r="Q3" s="589"/>
      <c r="S3" s="584" t="s">
        <v>244</v>
      </c>
      <c r="T3" s="585"/>
      <c r="U3" s="585"/>
      <c r="V3" s="585"/>
      <c r="W3" s="585"/>
      <c r="X3" s="585"/>
      <c r="Y3" s="585"/>
      <c r="Z3" s="586"/>
    </row>
    <row r="4" spans="1:26" s="475" customFormat="1" ht="75.75" thickBot="1" x14ac:dyDescent="0.3">
      <c r="A4" s="528"/>
      <c r="B4" s="529" t="s">
        <v>161</v>
      </c>
      <c r="C4" s="530" t="s">
        <v>162</v>
      </c>
      <c r="D4" s="483" t="s">
        <v>237</v>
      </c>
      <c r="E4" s="484" t="s">
        <v>232</v>
      </c>
      <c r="F4" s="484" t="s">
        <v>233</v>
      </c>
      <c r="G4" s="484" t="s">
        <v>234</v>
      </c>
      <c r="H4" s="484" t="s">
        <v>235</v>
      </c>
      <c r="I4" s="483" t="s">
        <v>236</v>
      </c>
      <c r="J4" s="484" t="s">
        <v>232</v>
      </c>
      <c r="K4" s="484" t="s">
        <v>233</v>
      </c>
      <c r="L4" s="484" t="s">
        <v>234</v>
      </c>
      <c r="M4" s="485" t="s">
        <v>235</v>
      </c>
      <c r="N4" s="483" t="s">
        <v>232</v>
      </c>
      <c r="O4" s="484" t="s">
        <v>233</v>
      </c>
      <c r="P4" s="484" t="s">
        <v>234</v>
      </c>
      <c r="Q4" s="485" t="s">
        <v>235</v>
      </c>
      <c r="R4" s="477"/>
      <c r="S4" s="483" t="s">
        <v>162</v>
      </c>
      <c r="T4" s="484" t="s">
        <v>50</v>
      </c>
      <c r="U4" s="485" t="s">
        <v>243</v>
      </c>
      <c r="V4" s="483" t="str">
        <f>D4</f>
        <v>Default UL Payment  Including Known Losses Phased In</v>
      </c>
      <c r="W4" s="484" t="str">
        <f>E4</f>
        <v xml:space="preserve">Alt 1 - 20 Yr Level % of Pay at 7% </v>
      </c>
      <c r="X4" s="485" t="str">
        <f>F4</f>
        <v xml:space="preserve">Alt 2 - 20 Yr Level $ Payment at 7% </v>
      </c>
      <c r="Y4" s="484" t="str">
        <f>G4</f>
        <v>Hedge 1 -  20 Yr Level % of Pay at 6.5%</v>
      </c>
      <c r="Z4" s="485" t="str">
        <f>H4</f>
        <v>Hedge 2 -  20 Yr Level $ Payment at 6.5%</v>
      </c>
    </row>
    <row r="5" spans="1:26" x14ac:dyDescent="0.25">
      <c r="A5" s="49">
        <v>1</v>
      </c>
      <c r="B5" s="49">
        <v>2015</v>
      </c>
      <c r="C5" s="49">
        <v>2018</v>
      </c>
      <c r="D5" s="490">
        <f>'Total Curr w2016 Loss'!AA16</f>
        <v>25045775.982986491</v>
      </c>
      <c r="E5" s="491">
        <f>'Total Alt Schedule @ 7%'!AA16</f>
        <v>30470113.894000754</v>
      </c>
      <c r="F5" s="491">
        <f>'Total Alt Schedule @ 7%'!AE16</f>
        <v>35180811.315084897</v>
      </c>
      <c r="G5" s="491">
        <f>'Total Alt Sched @ 6.5%'!AO16</f>
        <v>34662906.94296661</v>
      </c>
      <c r="H5" s="492">
        <f>'Total Alt Sched @ 6.5%'!AS16</f>
        <v>41268514.759295411</v>
      </c>
      <c r="I5" s="493">
        <f>'Total Curr w2016 Loss'!Y16</f>
        <v>341111128.70063865</v>
      </c>
      <c r="J5" s="494">
        <f>'Total Alt Schedule @ 7%'!Y16</f>
        <v>371856729.09223366</v>
      </c>
      <c r="K5" s="494">
        <f>'Total Alt Schedule @ 7%'!AC16</f>
        <v>371856729.09223366</v>
      </c>
      <c r="L5" s="494">
        <f>'Total Alt Sched @ 6.5%'!AM16</f>
        <v>436202985.07175374</v>
      </c>
      <c r="M5" s="494">
        <f>'Total Alt Sched @ 6.5%'!AQ16</f>
        <v>436202985.07175374</v>
      </c>
      <c r="N5" s="493">
        <f>$D5-E5</f>
        <v>-5424337.9110142626</v>
      </c>
      <c r="O5" s="494">
        <f>$D5-F5</f>
        <v>-10135035.332098406</v>
      </c>
      <c r="P5" s="494">
        <f t="shared" ref="P5:P35" si="0">D5-G5</f>
        <v>-9617130.959980119</v>
      </c>
      <c r="Q5" s="495">
        <f t="shared" ref="Q5:Q24" si="1">D5-H5</f>
        <v>-16222738.77630892</v>
      </c>
      <c r="S5" s="506">
        <v>2018</v>
      </c>
      <c r="T5" s="52">
        <v>0</v>
      </c>
      <c r="U5" s="121">
        <v>200000000</v>
      </c>
      <c r="V5" s="507">
        <f t="shared" ref="V5:V24" si="2">D5/$U5</f>
        <v>0.12522887991493245</v>
      </c>
      <c r="W5" s="507">
        <f t="shared" ref="W5:W24" si="3">E5/$U5</f>
        <v>0.15235056947000378</v>
      </c>
      <c r="X5" s="507">
        <f t="shared" ref="X5:X24" si="4">F5/$U5</f>
        <v>0.17590405657542449</v>
      </c>
      <c r="Y5" s="507">
        <f t="shared" ref="Y5:Y24" si="5">G5/$U5</f>
        <v>0.17331453471483305</v>
      </c>
      <c r="Z5" s="508">
        <f t="shared" ref="Z5:Z24" si="6">H5/$U5</f>
        <v>0.20634257379647705</v>
      </c>
    </row>
    <row r="6" spans="1:26" x14ac:dyDescent="0.25">
      <c r="A6" s="49">
        <f>A5+1</f>
        <v>2</v>
      </c>
      <c r="B6" s="49">
        <f>B5+1</f>
        <v>2016</v>
      </c>
      <c r="C6" s="49">
        <v>2019</v>
      </c>
      <c r="D6" s="490">
        <f>'Total Curr w2016 Loss'!AA17</f>
        <v>26802189.242117766</v>
      </c>
      <c r="E6" s="491">
        <f>'Total Alt Schedule @ 7%'!AA17</f>
        <v>31384217.310820784</v>
      </c>
      <c r="F6" s="491">
        <f>'Total Alt Schedule @ 7%'!AE17</f>
        <v>34836144.162651092</v>
      </c>
      <c r="G6" s="491">
        <f>'Total Alt Sched @ 6.5%'!AO17</f>
        <v>35702794.151255608</v>
      </c>
      <c r="H6" s="492">
        <f>'Total Alt Sched @ 6.5%'!AS17</f>
        <v>40864206.24748005</v>
      </c>
      <c r="I6" s="493">
        <f>'Total Curr w2016 Loss'!Y17</f>
        <v>367205316.48542702</v>
      </c>
      <c r="J6" s="494">
        <f>'Total Alt Schedule @ 7%'!Y17</f>
        <v>367685784.02256763</v>
      </c>
      <c r="K6" s="494">
        <f>'Total Alt Schedule @ 7%'!AC17</f>
        <v>362826134.61851358</v>
      </c>
      <c r="L6" s="494">
        <f>'Total Alt Sched @ 6.5%'!AM17</f>
        <v>431420174.13775355</v>
      </c>
      <c r="M6" s="494">
        <f>'Total Alt Sched @ 6.5%'!AQ17</f>
        <v>425609732.46065974</v>
      </c>
      <c r="N6" s="493">
        <f t="shared" ref="N6:O35" si="7">$D6-E6</f>
        <v>-4582028.0687030181</v>
      </c>
      <c r="O6" s="494">
        <f t="shared" si="7"/>
        <v>-8033954.9205333255</v>
      </c>
      <c r="P6" s="494">
        <f t="shared" si="0"/>
        <v>-8900604.9091378413</v>
      </c>
      <c r="Q6" s="495">
        <f t="shared" si="1"/>
        <v>-14062017.005362283</v>
      </c>
      <c r="S6" s="506">
        <f>S5+1</f>
        <v>2019</v>
      </c>
      <c r="T6" s="52">
        <f>T5+1</f>
        <v>1</v>
      </c>
      <c r="U6" s="121">
        <f>U5*1.03</f>
        <v>206000000</v>
      </c>
      <c r="V6" s="507">
        <f t="shared" si="2"/>
        <v>0.13010771476756197</v>
      </c>
      <c r="W6" s="507">
        <f t="shared" si="3"/>
        <v>0.1523505694700038</v>
      </c>
      <c r="X6" s="507">
        <f t="shared" si="4"/>
        <v>0.16910749593519947</v>
      </c>
      <c r="Y6" s="507">
        <f t="shared" si="5"/>
        <v>0.17331453471483305</v>
      </c>
      <c r="Z6" s="508">
        <f t="shared" si="6"/>
        <v>0.19836993324019442</v>
      </c>
    </row>
    <row r="7" spans="1:26" x14ac:dyDescent="0.25">
      <c r="A7" s="49">
        <f t="shared" ref="A7:B34" si="8">A6+1</f>
        <v>3</v>
      </c>
      <c r="B7" s="49">
        <f t="shared" si="8"/>
        <v>2017</v>
      </c>
      <c r="C7" s="49">
        <v>2020</v>
      </c>
      <c r="D7" s="490">
        <f>'Total Curr w2016 Loss'!AA18</f>
        <v>28628586.436755985</v>
      </c>
      <c r="E7" s="491">
        <f>'Total Alt Schedule @ 7%'!AA18</f>
        <v>32325743.8301454</v>
      </c>
      <c r="F7" s="491">
        <f>'Total Alt Schedule @ 7%'!AE18</f>
        <v>34504957.093071431</v>
      </c>
      <c r="G7" s="491">
        <f>'Total Alt Sched @ 6.5%'!AO18</f>
        <v>36773877.97579328</v>
      </c>
      <c r="H7" s="492">
        <f>'Total Alt Sched @ 6.5%'!AS18</f>
        <v>40475710.418130726</v>
      </c>
      <c r="I7" s="493">
        <f>'Total Curr w2016 Loss'!Y18</f>
        <v>366452604.42382401</v>
      </c>
      <c r="J7" s="494">
        <f>'Total Alt Schedule @ 7%'!Y18</f>
        <v>362257195.01925772</v>
      </c>
      <c r="K7" s="494">
        <f>'Total Alt Schedule @ 7%'!AC18</f>
        <v>353054169.50558168</v>
      </c>
      <c r="L7" s="494">
        <f>'Total Alt Sched @ 6.5%'!AM18</f>
        <v>425213078.51705289</v>
      </c>
      <c r="M7" s="494">
        <f>'Total Alt Sched @ 6.5%'!AQ18</f>
        <v>414146822.10084558</v>
      </c>
      <c r="N7" s="493">
        <f t="shared" si="7"/>
        <v>-3697157.393389415</v>
      </c>
      <c r="O7" s="494">
        <f t="shared" si="7"/>
        <v>-5876370.6563154459</v>
      </c>
      <c r="P7" s="494">
        <f t="shared" si="0"/>
        <v>-8145291.5390372947</v>
      </c>
      <c r="Q7" s="495">
        <f t="shared" si="1"/>
        <v>-11847123.981374741</v>
      </c>
      <c r="S7" s="506">
        <f t="shared" ref="S7:S35" si="9">S6+1</f>
        <v>2020</v>
      </c>
      <c r="T7" s="52">
        <f t="shared" ref="T7:T11" si="10">T6+1</f>
        <v>2</v>
      </c>
      <c r="U7" s="121">
        <f t="shared" ref="U7:U11" si="11">U6*1.03</f>
        <v>212180000</v>
      </c>
      <c r="V7" s="507">
        <f t="shared" si="2"/>
        <v>0.13492594229784138</v>
      </c>
      <c r="W7" s="507">
        <f t="shared" si="3"/>
        <v>0.15235056947000378</v>
      </c>
      <c r="X7" s="507">
        <f t="shared" si="4"/>
        <v>0.16262115700382426</v>
      </c>
      <c r="Y7" s="507">
        <f t="shared" si="5"/>
        <v>0.17331453471483307</v>
      </c>
      <c r="Z7" s="508">
        <f t="shared" si="6"/>
        <v>0.19076119529706251</v>
      </c>
    </row>
    <row r="8" spans="1:26" x14ac:dyDescent="0.25">
      <c r="A8" s="49">
        <f t="shared" si="8"/>
        <v>4</v>
      </c>
      <c r="B8" s="49">
        <f t="shared" si="8"/>
        <v>2018</v>
      </c>
      <c r="C8" s="49">
        <v>2021</v>
      </c>
      <c r="D8" s="490">
        <f>'Total Curr w2016 Loss'!AA19</f>
        <v>30491471.021183539</v>
      </c>
      <c r="E8" s="491">
        <f>'Total Alt Schedule @ 7%'!AA19</f>
        <v>33295516.145049766</v>
      </c>
      <c r="F8" s="491">
        <f>'Total Alt Schedule @ 7%'!AE19</f>
        <v>33871715.905824848</v>
      </c>
      <c r="G8" s="491">
        <f>'Total Alt Sched @ 6.5%'!AO19</f>
        <v>37877094.315067075</v>
      </c>
      <c r="H8" s="492">
        <f>'Total Alt Sched @ 6.5%'!AS19</f>
        <v>39732892.890472569</v>
      </c>
      <c r="I8" s="493">
        <f>'Total Curr w2016 Loss'!Y19</f>
        <v>364251050.24551433</v>
      </c>
      <c r="J8" s="494">
        <f>'Total Alt Schedule @ 7%'!Y19</f>
        <v>355449482.90141702</v>
      </c>
      <c r="K8" s="494">
        <f>'Total Alt Schedule @ 7%'!AC19</f>
        <v>342075756.22090739</v>
      </c>
      <c r="L8" s="494">
        <f>'Total Alt Sched @ 6.5%'!AM19</f>
        <v>417446768.50870538</v>
      </c>
      <c r="M8" s="494">
        <f>'Total Alt Sched @ 6.5%'!AQ19</f>
        <v>401268699.23396444</v>
      </c>
      <c r="N8" s="493">
        <f t="shared" si="7"/>
        <v>-2804045.1238662265</v>
      </c>
      <c r="O8" s="494">
        <f t="shared" si="7"/>
        <v>-3380244.8846413083</v>
      </c>
      <c r="P8" s="494">
        <f t="shared" si="0"/>
        <v>-7385623.293883536</v>
      </c>
      <c r="Q8" s="495">
        <f t="shared" si="1"/>
        <v>-9241421.8692890294</v>
      </c>
      <c r="S8" s="506">
        <f t="shared" si="9"/>
        <v>2021</v>
      </c>
      <c r="T8" s="52">
        <f t="shared" si="10"/>
        <v>3</v>
      </c>
      <c r="U8" s="121">
        <f t="shared" si="11"/>
        <v>218545400</v>
      </c>
      <c r="V8" s="507">
        <f t="shared" si="2"/>
        <v>0.1395200769322234</v>
      </c>
      <c r="W8" s="507">
        <f t="shared" si="3"/>
        <v>0.15235056947000378</v>
      </c>
      <c r="X8" s="507">
        <f t="shared" si="4"/>
        <v>0.15498709149597681</v>
      </c>
      <c r="Y8" s="507">
        <f t="shared" si="5"/>
        <v>0.17331453471483305</v>
      </c>
      <c r="Z8" s="508">
        <f t="shared" si="6"/>
        <v>0.18180612765344212</v>
      </c>
    </row>
    <row r="9" spans="1:26" x14ac:dyDescent="0.25">
      <c r="A9" s="49">
        <f t="shared" si="8"/>
        <v>5</v>
      </c>
      <c r="B9" s="49">
        <f t="shared" si="8"/>
        <v>2019</v>
      </c>
      <c r="C9" s="49">
        <v>2022</v>
      </c>
      <c r="D9" s="490">
        <f>'Total Curr w2016 Loss'!AA20</f>
        <v>33518716.707046639</v>
      </c>
      <c r="E9" s="491">
        <f>'Total Alt Schedule @ 7%'!AA20</f>
        <v>34294381.629401267</v>
      </c>
      <c r="F9" s="491">
        <f>'Total Alt Schedule @ 7%'!AE20</f>
        <v>33871715.90582484</v>
      </c>
      <c r="G9" s="491">
        <f>'Total Alt Sched @ 6.5%'!AO20</f>
        <v>39013407.144519091</v>
      </c>
      <c r="H9" s="492">
        <f>'Total Alt Sched @ 6.5%'!AS20</f>
        <v>39732892.890472569</v>
      </c>
      <c r="I9" s="493">
        <f>'Total Curr w2016 Loss'!Y20</f>
        <v>360370048.57055718</v>
      </c>
      <c r="J9" s="494">
        <f>'Total Alt Schedule @ 7%'!Y20</f>
        <v>347131326.08941782</v>
      </c>
      <c r="K9" s="494">
        <f>'Total Alt Schedule @ 7%'!AC20</f>
        <v>330983883.7837292</v>
      </c>
      <c r="L9" s="494">
        <f>'Total Alt Sched @ 6.5%'!AM20</f>
        <v>407975602.26003647</v>
      </c>
      <c r="M9" s="494">
        <f>'Total Alt Sched @ 6.5%'!AQ20</f>
        <v>388257484.19169974</v>
      </c>
      <c r="N9" s="493">
        <f t="shared" si="7"/>
        <v>-775664.9223546274</v>
      </c>
      <c r="O9" s="494">
        <f t="shared" si="7"/>
        <v>-352999.19877820089</v>
      </c>
      <c r="P9" s="494">
        <f t="shared" si="0"/>
        <v>-5494690.4374724515</v>
      </c>
      <c r="Q9" s="495">
        <f t="shared" si="1"/>
        <v>-6214176.1834259294</v>
      </c>
      <c r="S9" s="506">
        <f t="shared" si="9"/>
        <v>2022</v>
      </c>
      <c r="T9" s="52">
        <f t="shared" si="10"/>
        <v>4</v>
      </c>
      <c r="U9" s="121">
        <f t="shared" si="11"/>
        <v>225101762</v>
      </c>
      <c r="V9" s="507">
        <f t="shared" si="2"/>
        <v>0.14890472828483076</v>
      </c>
      <c r="W9" s="507">
        <f t="shared" si="3"/>
        <v>0.15235056947000383</v>
      </c>
      <c r="X9" s="507">
        <f t="shared" si="4"/>
        <v>0.15047290436502597</v>
      </c>
      <c r="Y9" s="507">
        <f t="shared" si="5"/>
        <v>0.17331453471483307</v>
      </c>
      <c r="Z9" s="508">
        <f t="shared" si="6"/>
        <v>0.17651080354703119</v>
      </c>
    </row>
    <row r="10" spans="1:26" x14ac:dyDescent="0.25">
      <c r="A10" s="49">
        <f t="shared" si="8"/>
        <v>6</v>
      </c>
      <c r="B10" s="49">
        <f t="shared" si="8"/>
        <v>2020</v>
      </c>
      <c r="C10" s="49">
        <v>2023</v>
      </c>
      <c r="D10" s="490">
        <f>'Total Curr w2016 Loss'!AA21</f>
        <v>36254845.861836992</v>
      </c>
      <c r="E10" s="491">
        <f>'Total Alt Schedule @ 7%'!AA21</f>
        <v>35323213.078283295</v>
      </c>
      <c r="F10" s="491">
        <f>'Total Alt Schedule @ 7%'!AE21</f>
        <v>33871715.90582484</v>
      </c>
      <c r="G10" s="491">
        <f>'Total Alt Sched @ 6.5%'!AO21</f>
        <v>40183809.358854651</v>
      </c>
      <c r="H10" s="492">
        <f>'Total Alt Sched @ 6.5%'!AS21</f>
        <v>39732892.890472576</v>
      </c>
      <c r="I10" s="493">
        <f>'Total Curr w2016 Loss'!Y21</f>
        <v>353047054.75703007</v>
      </c>
      <c r="J10" s="494">
        <f>'Total Alt Schedule @ 7%'!Y21</f>
        <v>337160806.30632949</v>
      </c>
      <c r="K10" s="494">
        <f>'Total Alt Schedule @ 7%'!AC21</f>
        <v>319115580.27594852</v>
      </c>
      <c r="L10" s="494">
        <f>'Total Alt Sched @ 6.5%'!AM21</f>
        <v>396642420.88625044</v>
      </c>
      <c r="M10" s="494">
        <f>'Total Alt Sched @ 6.5%'!AQ21</f>
        <v>374335484.0964765</v>
      </c>
      <c r="N10" s="493">
        <f t="shared" si="7"/>
        <v>931632.78355369717</v>
      </c>
      <c r="O10" s="494">
        <f t="shared" si="7"/>
        <v>2383129.9560121521</v>
      </c>
      <c r="P10" s="494">
        <f t="shared" si="0"/>
        <v>-3928963.4970176592</v>
      </c>
      <c r="Q10" s="495">
        <f t="shared" si="1"/>
        <v>-3478047.0286355838</v>
      </c>
      <c r="S10" s="506">
        <f t="shared" si="9"/>
        <v>2023</v>
      </c>
      <c r="T10" s="52">
        <f t="shared" si="10"/>
        <v>5</v>
      </c>
      <c r="U10" s="121">
        <f t="shared" si="11"/>
        <v>231854814.86000001</v>
      </c>
      <c r="V10" s="507">
        <f t="shared" si="2"/>
        <v>0.15636874258457223</v>
      </c>
      <c r="W10" s="507">
        <f t="shared" si="3"/>
        <v>0.15235056947000378</v>
      </c>
      <c r="X10" s="507">
        <f t="shared" si="4"/>
        <v>0.14609019841264659</v>
      </c>
      <c r="Y10" s="507">
        <f t="shared" si="5"/>
        <v>0.17331453471483299</v>
      </c>
      <c r="Z10" s="508">
        <f t="shared" si="6"/>
        <v>0.1713697121815837</v>
      </c>
    </row>
    <row r="11" spans="1:26" x14ac:dyDescent="0.25">
      <c r="A11" s="49">
        <f t="shared" si="8"/>
        <v>7</v>
      </c>
      <c r="B11" s="49">
        <f t="shared" si="8"/>
        <v>2021</v>
      </c>
      <c r="C11" s="49">
        <v>2024</v>
      </c>
      <c r="D11" s="490">
        <f>'Total Curr w2016 Loss'!AA22</f>
        <v>37280769.161154374</v>
      </c>
      <c r="E11" s="491">
        <f>'Total Alt Schedule @ 7%'!AA22</f>
        <v>36382909.470631793</v>
      </c>
      <c r="F11" s="491">
        <f>'Total Alt Schedule @ 7%'!AE22</f>
        <v>33871715.905824833</v>
      </c>
      <c r="G11" s="491">
        <f>'Total Alt Sched @ 6.5%'!AO22</f>
        <v>41389323.639620304</v>
      </c>
      <c r="H11" s="492">
        <f>'Total Alt Sched @ 6.5%'!AS22</f>
        <v>39732892.890472561</v>
      </c>
      <c r="I11" s="493">
        <f>'Total Curr w2016 Loss'!Y22</f>
        <v>342337135.70698458</v>
      </c>
      <c r="J11" s="494">
        <f>'Total Alt Schedule @ 7%'!Y22</f>
        <v>325384597.6311633</v>
      </c>
      <c r="K11" s="494">
        <f>'Total Alt Schedule @ 7%'!AC22</f>
        <v>306416495.52262318</v>
      </c>
      <c r="L11" s="494">
        <f>'Total Alt Sched @ 6.5%'!AM22</f>
        <v>383277684.2396785</v>
      </c>
      <c r="M11" s="494">
        <f>'Total Alt Sched @ 6.5%'!AQ22</f>
        <v>359438943.9945876</v>
      </c>
      <c r="N11" s="493">
        <f t="shared" si="7"/>
        <v>897859.69052258134</v>
      </c>
      <c r="O11" s="494">
        <f t="shared" si="7"/>
        <v>3409053.2553295419</v>
      </c>
      <c r="P11" s="494">
        <f t="shared" si="0"/>
        <v>-4108554.4784659296</v>
      </c>
      <c r="Q11" s="495">
        <f t="shared" si="1"/>
        <v>-2452123.7293181866</v>
      </c>
      <c r="S11" s="506">
        <f t="shared" si="9"/>
        <v>2024</v>
      </c>
      <c r="T11" s="52">
        <f t="shared" si="10"/>
        <v>6</v>
      </c>
      <c r="U11" s="121">
        <f t="shared" si="11"/>
        <v>238810459.30580002</v>
      </c>
      <c r="V11" s="507">
        <f t="shared" si="2"/>
        <v>0.15611028624762135</v>
      </c>
      <c r="W11" s="507">
        <f t="shared" si="3"/>
        <v>0.15235056947000378</v>
      </c>
      <c r="X11" s="507">
        <f t="shared" si="4"/>
        <v>0.1418351440899481</v>
      </c>
      <c r="Y11" s="507">
        <f t="shared" si="5"/>
        <v>0.17331453471483305</v>
      </c>
      <c r="Z11" s="508">
        <f t="shared" si="6"/>
        <v>0.16637836134134332</v>
      </c>
    </row>
    <row r="12" spans="1:26" x14ac:dyDescent="0.25">
      <c r="A12" s="49">
        <f t="shared" si="8"/>
        <v>8</v>
      </c>
      <c r="B12" s="49">
        <f t="shared" si="8"/>
        <v>2022</v>
      </c>
      <c r="C12" s="49">
        <v>2025</v>
      </c>
      <c r="D12" s="490">
        <f>'Total Curr w2016 Loss'!AA23</f>
        <v>38334754.006433606</v>
      </c>
      <c r="E12" s="491">
        <f>'Total Alt Schedule @ 7%'!AA23</f>
        <v>37474396.754750766</v>
      </c>
      <c r="F12" s="491">
        <f>'Total Alt Schedule @ 7%'!AE23</f>
        <v>33871715.905824833</v>
      </c>
      <c r="G12" s="491">
        <f>'Total Alt Sched @ 6.5%'!AO23</f>
        <v>42631003.348808914</v>
      </c>
      <c r="H12" s="492">
        <f>'Total Alt Sched @ 6.5%'!AS23</f>
        <v>39732892.890472561</v>
      </c>
      <c r="I12" s="493">
        <f>'Total Curr w2016 Loss'!Y23</f>
        <v>328888742.35388076</v>
      </c>
      <c r="J12" s="494">
        <f>'Total Alt Schedule @ 7%'!Y23</f>
        <v>311637094.68158257</v>
      </c>
      <c r="K12" s="494">
        <f>'Total Alt Schedule @ 7%'!AC23</f>
        <v>292828474.83656514</v>
      </c>
      <c r="L12" s="494">
        <f>'Total Alt Sched @ 6.5%'!AM23</f>
        <v>367698542.97674465</v>
      </c>
      <c r="M12" s="494">
        <f>'Total Alt Sched @ 6.5%'!AQ23</f>
        <v>343499646.08556652</v>
      </c>
      <c r="N12" s="493">
        <f t="shared" si="7"/>
        <v>860357.25168284029</v>
      </c>
      <c r="O12" s="494">
        <f t="shared" si="7"/>
        <v>4463038.1006087735</v>
      </c>
      <c r="P12" s="494">
        <f t="shared" si="0"/>
        <v>-4296249.3423753083</v>
      </c>
      <c r="Q12" s="495">
        <f t="shared" si="1"/>
        <v>-1398138.884038955</v>
      </c>
      <c r="S12" s="506">
        <f t="shared" si="9"/>
        <v>2025</v>
      </c>
      <c r="T12" s="52">
        <f t="shared" ref="T12:T35" si="12">T11+1</f>
        <v>7</v>
      </c>
      <c r="U12" s="121">
        <f t="shared" ref="U12:U35" si="13">U11*1.03</f>
        <v>245974773.08497402</v>
      </c>
      <c r="V12" s="507">
        <f t="shared" si="2"/>
        <v>0.15584831536033392</v>
      </c>
      <c r="W12" s="507">
        <f t="shared" si="3"/>
        <v>0.15235056947000383</v>
      </c>
      <c r="X12" s="507">
        <f t="shared" si="4"/>
        <v>0.13770402338829912</v>
      </c>
      <c r="Y12" s="507">
        <f t="shared" si="5"/>
        <v>0.17331453471483305</v>
      </c>
      <c r="Z12" s="508">
        <f t="shared" si="6"/>
        <v>0.16153238965178965</v>
      </c>
    </row>
    <row r="13" spans="1:26" x14ac:dyDescent="0.25">
      <c r="A13" s="49">
        <f t="shared" si="8"/>
        <v>9</v>
      </c>
      <c r="B13" s="49">
        <f t="shared" si="8"/>
        <v>2023</v>
      </c>
      <c r="C13" s="49">
        <v>2026</v>
      </c>
      <c r="D13" s="490">
        <f>'Total Curr w2016 Loss'!AA24</f>
        <v>39417537.193284698</v>
      </c>
      <c r="E13" s="491">
        <f>'Total Alt Schedule @ 7%'!AA24</f>
        <v>38598628.657393269</v>
      </c>
      <c r="F13" s="491">
        <f>'Total Alt Schedule @ 7%'!AE24</f>
        <v>33871715.905824825</v>
      </c>
      <c r="G13" s="491">
        <f>'Total Alt Sched @ 6.5%'!AO24</f>
        <v>43909933.449273162</v>
      </c>
      <c r="H13" s="492">
        <f>'Total Alt Sched @ 6.5%'!AS24</f>
        <v>39732892.890472569</v>
      </c>
      <c r="I13" s="493">
        <f>'Total Curr w2016 Loss'!Y24</f>
        <v>312725534.51631033</v>
      </c>
      <c r="J13" s="494">
        <f>'Total Alt Schedule @ 7%'!Y24</f>
        <v>295739475.38983941</v>
      </c>
      <c r="K13" s="494">
        <f>'Total Alt Schedule @ 7%'!AC24</f>
        <v>278289292.70248294</v>
      </c>
      <c r="L13" s="494">
        <f>'Total Alt Sched @ 6.5%'!AM24</f>
        <v>349707842.25178957</v>
      </c>
      <c r="M13" s="494">
        <f>'Total Alt Sched @ 6.5%'!AQ24</f>
        <v>326444597.32291394</v>
      </c>
      <c r="N13" s="493">
        <f t="shared" si="7"/>
        <v>818908.53589142859</v>
      </c>
      <c r="O13" s="494">
        <f t="shared" si="7"/>
        <v>5545821.2874598727</v>
      </c>
      <c r="P13" s="494">
        <f t="shared" si="0"/>
        <v>-4492396.2559884638</v>
      </c>
      <c r="Q13" s="495">
        <f t="shared" si="1"/>
        <v>-315355.69718787074</v>
      </c>
      <c r="S13" s="506">
        <f t="shared" si="9"/>
        <v>2026</v>
      </c>
      <c r="T13" s="52">
        <f t="shared" si="12"/>
        <v>8</v>
      </c>
      <c r="U13" s="121">
        <f t="shared" si="13"/>
        <v>253354016.27752325</v>
      </c>
      <c r="V13" s="507">
        <f t="shared" si="2"/>
        <v>0.15558283927145974</v>
      </c>
      <c r="W13" s="507">
        <f t="shared" si="3"/>
        <v>0.15235056947000375</v>
      </c>
      <c r="X13" s="507">
        <f t="shared" si="4"/>
        <v>0.13369322659058164</v>
      </c>
      <c r="Y13" s="507">
        <f t="shared" si="5"/>
        <v>0.17331453471483296</v>
      </c>
      <c r="Z13" s="508">
        <f t="shared" si="6"/>
        <v>0.15682756276872784</v>
      </c>
    </row>
    <row r="14" spans="1:26" x14ac:dyDescent="0.25">
      <c r="A14" s="49">
        <f t="shared" si="8"/>
        <v>10</v>
      </c>
      <c r="B14" s="49">
        <f t="shared" si="8"/>
        <v>2024</v>
      </c>
      <c r="C14" s="49">
        <v>2027</v>
      </c>
      <c r="D14" s="490">
        <f>'Total Curr w2016 Loss'!AA25</f>
        <v>40529874.26499857</v>
      </c>
      <c r="E14" s="491">
        <f>'Total Alt Schedule @ 7%'!AA25</f>
        <v>39756587.517115071</v>
      </c>
      <c r="F14" s="491">
        <f>'Total Alt Schedule @ 7%'!AE25</f>
        <v>33871715.905824833</v>
      </c>
      <c r="G14" s="491">
        <f>'Total Alt Sched @ 6.5%'!AO25</f>
        <v>45227231.452751368</v>
      </c>
      <c r="H14" s="492">
        <f>'Total Alt Sched @ 6.5%'!AS25</f>
        <v>39732892.890472569</v>
      </c>
      <c r="I14" s="493">
        <f>'Total Curr w2016 Loss'!Y25</f>
        <v>294255339.53603971</v>
      </c>
      <c r="J14" s="494">
        <f>'Total Alt Schedule @ 7%'!Y25</f>
        <v>277498693.49849856</v>
      </c>
      <c r="K14" s="494">
        <f>'Total Alt Schedule @ 7%'!AC25</f>
        <v>262732367.81901509</v>
      </c>
      <c r="L14" s="494">
        <f>'Total Alt Sched @ 6.5%'!AM25</f>
        <v>329093052.02455091</v>
      </c>
      <c r="M14" s="494">
        <f>'Total Alt Sched @ 6.5%'!AQ25</f>
        <v>308195695.14687568</v>
      </c>
      <c r="N14" s="493">
        <f t="shared" si="7"/>
        <v>773286.74788349867</v>
      </c>
      <c r="O14" s="494">
        <f t="shared" si="7"/>
        <v>6658158.3591737375</v>
      </c>
      <c r="P14" s="494">
        <f t="shared" si="0"/>
        <v>-4697357.1877527982</v>
      </c>
      <c r="Q14" s="495">
        <f t="shared" si="1"/>
        <v>796981.37452600151</v>
      </c>
      <c r="S14" s="506">
        <f t="shared" si="9"/>
        <v>2027</v>
      </c>
      <c r="T14" s="52">
        <f t="shared" si="12"/>
        <v>9</v>
      </c>
      <c r="U14" s="121">
        <f t="shared" si="13"/>
        <v>260954636.76584896</v>
      </c>
      <c r="V14" s="507">
        <f t="shared" si="2"/>
        <v>0.15531386898239127</v>
      </c>
      <c r="W14" s="507">
        <f t="shared" si="3"/>
        <v>0.15235056947000378</v>
      </c>
      <c r="X14" s="507">
        <f t="shared" si="4"/>
        <v>0.12979924911706958</v>
      </c>
      <c r="Y14" s="507">
        <f t="shared" si="5"/>
        <v>0.17331453471483302</v>
      </c>
      <c r="Z14" s="508">
        <f t="shared" si="6"/>
        <v>0.15225976967837651</v>
      </c>
    </row>
    <row r="15" spans="1:26" x14ac:dyDescent="0.25">
      <c r="A15" s="49">
        <f t="shared" si="8"/>
        <v>11</v>
      </c>
      <c r="B15" s="49">
        <f t="shared" si="8"/>
        <v>2025</v>
      </c>
      <c r="C15" s="49">
        <v>2028</v>
      </c>
      <c r="D15" s="490">
        <f>'Total Curr w2016 Loss'!AA26</f>
        <v>41672539.99654571</v>
      </c>
      <c r="E15" s="491">
        <f>'Total Alt Schedule @ 7%'!AA26</f>
        <v>40949285.142628521</v>
      </c>
      <c r="F15" s="491">
        <f>'Total Alt Schedule @ 7%'!AE26</f>
        <v>33871715.905824825</v>
      </c>
      <c r="G15" s="491">
        <f>'Total Alt Sched @ 6.5%'!AO26</f>
        <v>46584048.396333888</v>
      </c>
      <c r="H15" s="492">
        <f>'Total Alt Sched @ 6.5%'!AS26</f>
        <v>39732892.890472569</v>
      </c>
      <c r="I15" s="493">
        <f>'Total Curr w2016 Loss'!Y26</f>
        <v>273281401.43525779</v>
      </c>
      <c r="J15" s="494">
        <f>'Total Alt Schedule @ 7%'!Y26</f>
        <v>256706395.54024324</v>
      </c>
      <c r="K15" s="494">
        <f>'Total Alt Schedule @ 7%'!AC26</f>
        <v>246086458.19370449</v>
      </c>
      <c r="L15" s="494">
        <f>'Total Alt Sched @ 6.5%'!AM26</f>
        <v>305625118.60062969</v>
      </c>
      <c r="M15" s="494">
        <f>'Total Alt Sched @ 6.5%'!AQ26</f>
        <v>288669369.81851476</v>
      </c>
      <c r="N15" s="493">
        <f t="shared" si="7"/>
        <v>723254.85391718894</v>
      </c>
      <c r="O15" s="494">
        <f t="shared" si="7"/>
        <v>7800824.0907208845</v>
      </c>
      <c r="P15" s="494">
        <f t="shared" si="0"/>
        <v>-4911508.3997881785</v>
      </c>
      <c r="Q15" s="495">
        <f t="shared" si="1"/>
        <v>1939647.1060731411</v>
      </c>
      <c r="S15" s="506">
        <f t="shared" si="9"/>
        <v>2028</v>
      </c>
      <c r="T15" s="52">
        <f t="shared" si="12"/>
        <v>10</v>
      </c>
      <c r="U15" s="121">
        <f t="shared" si="13"/>
        <v>268783275.86882442</v>
      </c>
      <c r="V15" s="507">
        <f t="shared" si="2"/>
        <v>0.15504141714860026</v>
      </c>
      <c r="W15" s="507">
        <f t="shared" si="3"/>
        <v>0.15235056947000375</v>
      </c>
      <c r="X15" s="507">
        <f t="shared" si="4"/>
        <v>0.12601868846317432</v>
      </c>
      <c r="Y15" s="507">
        <f t="shared" si="5"/>
        <v>0.17331453471483294</v>
      </c>
      <c r="Z15" s="508">
        <f t="shared" si="6"/>
        <v>0.14782501910521992</v>
      </c>
    </row>
    <row r="16" spans="1:26" x14ac:dyDescent="0.25">
      <c r="A16" s="49">
        <f t="shared" si="8"/>
        <v>12</v>
      </c>
      <c r="B16" s="49">
        <f t="shared" si="8"/>
        <v>2026</v>
      </c>
      <c r="C16" s="49">
        <v>2029</v>
      </c>
      <c r="D16" s="490">
        <f>'Total Curr w2016 Loss'!AA27</f>
        <v>42846328.892067149</v>
      </c>
      <c r="E16" s="491">
        <f>'Total Alt Schedule @ 7%'!AA27</f>
        <v>42177763.696907379</v>
      </c>
      <c r="F16" s="491">
        <f>'Total Alt Schedule @ 7%'!AE27</f>
        <v>33871715.905824833</v>
      </c>
      <c r="G16" s="491">
        <f>'Total Alt Sched @ 6.5%'!AO27</f>
        <v>47981569.848223917</v>
      </c>
      <c r="H16" s="492">
        <f>'Total Alt Sched @ 6.5%'!AS27</f>
        <v>39732892.890472569</v>
      </c>
      <c r="I16" s="493">
        <f>'Total Curr w2016 Loss'!Y27</f>
        <v>249592133.31137201</v>
      </c>
      <c r="J16" s="494">
        <f>'Total Alt Schedule @ 7%'!Y27</f>
        <v>233137756.67689437</v>
      </c>
      <c r="K16" s="494">
        <f>'Total Alt Schedule @ 7%'!AC27</f>
        <v>228275334.89462212</v>
      </c>
      <c r="L16" s="494">
        <f>'Total Alt Sched @ 6.5%'!AM27</f>
        <v>279057231.62983155</v>
      </c>
      <c r="M16" s="494">
        <f>'Total Alt Sched @ 6.5%'!AQ27</f>
        <v>267776201.71716854</v>
      </c>
      <c r="N16" s="493">
        <f t="shared" si="7"/>
        <v>668565.19515977055</v>
      </c>
      <c r="O16" s="494">
        <f t="shared" si="7"/>
        <v>8974612.9862423167</v>
      </c>
      <c r="P16" s="494">
        <f t="shared" si="0"/>
        <v>-5135240.9561567679</v>
      </c>
      <c r="Q16" s="495">
        <f t="shared" si="1"/>
        <v>3113436.0015945807</v>
      </c>
      <c r="S16" s="506">
        <f t="shared" si="9"/>
        <v>2029</v>
      </c>
      <c r="T16" s="52">
        <f t="shared" si="12"/>
        <v>11</v>
      </c>
      <c r="U16" s="121">
        <f t="shared" si="13"/>
        <v>276846774.14488918</v>
      </c>
      <c r="V16" s="507">
        <f t="shared" si="2"/>
        <v>0.15476549807888787</v>
      </c>
      <c r="W16" s="507">
        <f t="shared" si="3"/>
        <v>0.15235056947000375</v>
      </c>
      <c r="X16" s="507">
        <f t="shared" si="4"/>
        <v>0.12234824122638285</v>
      </c>
      <c r="Y16" s="507">
        <f t="shared" si="5"/>
        <v>0.17331453471483296</v>
      </c>
      <c r="Z16" s="508">
        <f t="shared" si="6"/>
        <v>0.14351943602448536</v>
      </c>
    </row>
    <row r="17" spans="1:26" x14ac:dyDescent="0.25">
      <c r="A17" s="49">
        <f t="shared" si="8"/>
        <v>13</v>
      </c>
      <c r="B17" s="49">
        <f t="shared" si="8"/>
        <v>2027</v>
      </c>
      <c r="C17" s="49">
        <v>2030</v>
      </c>
      <c r="D17" s="490">
        <f>'Total Curr w2016 Loss'!AA28</f>
        <v>44052055.69624573</v>
      </c>
      <c r="E17" s="491">
        <f>'Total Alt Schedule @ 7%'!AA28</f>
        <v>43443096.60781461</v>
      </c>
      <c r="F17" s="491">
        <f>'Total Alt Schedule @ 7%'!AE28</f>
        <v>33871715.905824825</v>
      </c>
      <c r="G17" s="491">
        <f>'Total Alt Sched @ 6.5%'!AO28</f>
        <v>49421016.943670645</v>
      </c>
      <c r="H17" s="492">
        <f>'Total Alt Sched @ 6.5%'!AS28</f>
        <v>39732892.890472569</v>
      </c>
      <c r="I17" s="493">
        <f>'Total Curr w2016 Loss'!Y28</f>
        <v>222960047.43208358</v>
      </c>
      <c r="J17" s="494">
        <f>'Total Alt Schedule @ 7%'!Y28</f>
        <v>206550229.3546856</v>
      </c>
      <c r="K17" s="494">
        <f>'Total Alt Schedule @ 7%'!AC28</f>
        <v>209217432.96460399</v>
      </c>
      <c r="L17" s="494">
        <f>'Total Alt Sched @ 6.5%'!AM28</f>
        <v>249123500.36386788</v>
      </c>
      <c r="M17" s="494">
        <f>'Total Alt Sched @ 6.5%'!AQ28</f>
        <v>245420511.84872812</v>
      </c>
      <c r="N17" s="493">
        <f t="shared" si="7"/>
        <v>608959.08843111992</v>
      </c>
      <c r="O17" s="494">
        <f t="shared" si="7"/>
        <v>10180339.790420905</v>
      </c>
      <c r="P17" s="494">
        <f t="shared" si="0"/>
        <v>-5368961.2474249154</v>
      </c>
      <c r="Q17" s="495">
        <f t="shared" si="1"/>
        <v>4319162.8057731614</v>
      </c>
      <c r="S17" s="506">
        <f t="shared" si="9"/>
        <v>2030</v>
      </c>
      <c r="T17" s="52">
        <f t="shared" si="12"/>
        <v>12</v>
      </c>
      <c r="U17" s="121">
        <f t="shared" si="13"/>
        <v>285152177.36923587</v>
      </c>
      <c r="V17" s="507">
        <f t="shared" si="2"/>
        <v>0.15448612773243497</v>
      </c>
      <c r="W17" s="507">
        <f t="shared" si="3"/>
        <v>0.15235056947000378</v>
      </c>
      <c r="X17" s="507">
        <f t="shared" si="4"/>
        <v>0.11878470021978914</v>
      </c>
      <c r="Y17" s="507">
        <f t="shared" si="5"/>
        <v>0.17331453471483299</v>
      </c>
      <c r="Z17" s="508">
        <f t="shared" si="6"/>
        <v>0.13933925827619936</v>
      </c>
    </row>
    <row r="18" spans="1:26" x14ac:dyDescent="0.25">
      <c r="A18" s="49">
        <f t="shared" si="8"/>
        <v>14</v>
      </c>
      <c r="B18" s="49">
        <f t="shared" si="8"/>
        <v>2028</v>
      </c>
      <c r="C18" s="49">
        <v>2031</v>
      </c>
      <c r="D18" s="490">
        <f>'Total Curr w2016 Loss'!AA29</f>
        <v>45290555.919955045</v>
      </c>
      <c r="E18" s="491">
        <f>'Total Alt Schedule @ 7%'!AA29</f>
        <v>44746389.506049052</v>
      </c>
      <c r="F18" s="491">
        <f>'Total Alt Schedule @ 7%'!AE29</f>
        <v>33871715.905824825</v>
      </c>
      <c r="G18" s="491">
        <f>'Total Alt Sched @ 6.5%'!AO29</f>
        <v>50903647.451980762</v>
      </c>
      <c r="H18" s="492">
        <f>'Total Alt Sched @ 6.5%'!AS29</f>
        <v>39732892.890472561</v>
      </c>
      <c r="I18" s="493">
        <f>'Total Curr w2016 Loss'!Y29</f>
        <v>193140609.48491237</v>
      </c>
      <c r="J18" s="494">
        <f>'Total Alt Schedule @ 7%'!Y29</f>
        <v>176682198.28370243</v>
      </c>
      <c r="K18" s="494">
        <f>'Total Alt Schedule @ 7%'!AC29</f>
        <v>188825477.89948457</v>
      </c>
      <c r="L18" s="494">
        <f>'Total Alt Sched @ 6.5%'!AM29</f>
        <v>215537532.52041602</v>
      </c>
      <c r="M18" s="494">
        <f>'Total Alt Sched @ 6.5%'!AQ29</f>
        <v>221499923.68949685</v>
      </c>
      <c r="N18" s="493">
        <f t="shared" si="7"/>
        <v>544166.4139059931</v>
      </c>
      <c r="O18" s="494">
        <f t="shared" si="7"/>
        <v>11418840.01413022</v>
      </c>
      <c r="P18" s="494">
        <f t="shared" si="0"/>
        <v>-5613091.5320257172</v>
      </c>
      <c r="Q18" s="495">
        <f t="shared" si="1"/>
        <v>5557663.0294824839</v>
      </c>
      <c r="S18" s="506">
        <f t="shared" si="9"/>
        <v>2031</v>
      </c>
      <c r="T18" s="52">
        <f t="shared" si="12"/>
        <v>13</v>
      </c>
      <c r="U18" s="121">
        <f t="shared" si="13"/>
        <v>293706742.69031298</v>
      </c>
      <c r="V18" s="507">
        <f t="shared" si="2"/>
        <v>0.15420332371364662</v>
      </c>
      <c r="W18" s="507">
        <f t="shared" si="3"/>
        <v>0.15235056947000378</v>
      </c>
      <c r="X18" s="507">
        <f t="shared" si="4"/>
        <v>0.11532495166969818</v>
      </c>
      <c r="Y18" s="507">
        <f t="shared" si="5"/>
        <v>0.17331453471483296</v>
      </c>
      <c r="Z18" s="508">
        <f t="shared" si="6"/>
        <v>0.13528083327786342</v>
      </c>
    </row>
    <row r="19" spans="1:26" x14ac:dyDescent="0.25">
      <c r="A19" s="49">
        <f t="shared" si="8"/>
        <v>15</v>
      </c>
      <c r="B19" s="49">
        <f t="shared" si="8"/>
        <v>2029</v>
      </c>
      <c r="C19" s="49">
        <v>2032</v>
      </c>
      <c r="D19" s="490">
        <f>'Total Curr w2016 Loss'!AA30</f>
        <v>46562686.380593009</v>
      </c>
      <c r="E19" s="491">
        <f>'Total Alt Schedule @ 7%'!AA30</f>
        <v>46088781.191230521</v>
      </c>
      <c r="F19" s="491">
        <f>'Total Alt Schedule @ 7%'!AE30</f>
        <v>33871715.905824825</v>
      </c>
      <c r="G19" s="491">
        <f>'Total Alt Sched @ 6.5%'!AO30</f>
        <v>52430756.875540167</v>
      </c>
      <c r="H19" s="492">
        <f>'Total Alt Sched @ 6.5%'!AS30</f>
        <v>39732892.890472561</v>
      </c>
      <c r="I19" s="493">
        <f>'Total Curr w2016 Loss'!Y30</f>
        <v>159871011.6434167</v>
      </c>
      <c r="J19" s="494">
        <f>'Total Alt Schedule @ 7%'!Y30</f>
        <v>143251534.76687908</v>
      </c>
      <c r="K19" s="494">
        <f>'Total Alt Schedule @ 7%'!AC30</f>
        <v>167006085.97980684</v>
      </c>
      <c r="L19" s="494">
        <f>'Total Alt Sched @ 6.5%'!AM30</f>
        <v>177990908.61266738</v>
      </c>
      <c r="M19" s="494">
        <f>'Total Alt Sched @ 6.5%'!AQ30</f>
        <v>195904894.35911939</v>
      </c>
      <c r="N19" s="493">
        <f t="shared" si="7"/>
        <v>473905.18936248869</v>
      </c>
      <c r="O19" s="494">
        <f t="shared" si="7"/>
        <v>12690970.474768184</v>
      </c>
      <c r="P19" s="494">
        <f t="shared" si="0"/>
        <v>-5868070.4949471578</v>
      </c>
      <c r="Q19" s="495">
        <f t="shared" si="1"/>
        <v>6829793.4901204482</v>
      </c>
      <c r="S19" s="506">
        <f t="shared" si="9"/>
        <v>2032</v>
      </c>
      <c r="T19" s="52">
        <f t="shared" si="12"/>
        <v>14</v>
      </c>
      <c r="U19" s="121">
        <f t="shared" si="13"/>
        <v>302517944.97102237</v>
      </c>
      <c r="V19" s="507">
        <f t="shared" si="2"/>
        <v>0.15391710526479069</v>
      </c>
      <c r="W19" s="507">
        <f t="shared" si="3"/>
        <v>0.15235056947000378</v>
      </c>
      <c r="X19" s="507">
        <f t="shared" si="4"/>
        <v>0.11196597249485261</v>
      </c>
      <c r="Y19" s="507">
        <f t="shared" si="5"/>
        <v>0.17331453471483291</v>
      </c>
      <c r="Z19" s="508">
        <f t="shared" si="6"/>
        <v>0.1313406148328771</v>
      </c>
    </row>
    <row r="20" spans="1:26" x14ac:dyDescent="0.25">
      <c r="A20" s="49">
        <f t="shared" si="8"/>
        <v>16</v>
      </c>
      <c r="B20" s="49">
        <f t="shared" si="8"/>
        <v>2030</v>
      </c>
      <c r="C20" s="49">
        <v>2033</v>
      </c>
      <c r="D20" s="490">
        <f>'Total Curr w2016 Loss'!AA31</f>
        <v>47869325.757515691</v>
      </c>
      <c r="E20" s="491">
        <f>'Total Alt Schedule @ 7%'!AA31</f>
        <v>47471444.626967445</v>
      </c>
      <c r="F20" s="491">
        <f>'Total Alt Schedule @ 7%'!AE31</f>
        <v>33871715.905824825</v>
      </c>
      <c r="G20" s="491">
        <f>'Total Alt Sched @ 6.5%'!AO31</f>
        <v>54003679.581806391</v>
      </c>
      <c r="H20" s="492">
        <f>'Total Alt Sched @ 6.5%'!AS31</f>
        <v>39732892.890472561</v>
      </c>
      <c r="I20" s="493">
        <f>'Total Curr w2016 Loss'!Y31</f>
        <v>122868858.73785317</v>
      </c>
      <c r="J20" s="494">
        <f>'Total Alt Schedule @ 7%'!Y31</f>
        <v>105954042.88559826</v>
      </c>
      <c r="K20" s="494">
        <f>'Total Alt Schedule @ 7%'!AC31</f>
        <v>143659336.62575161</v>
      </c>
      <c r="L20" s="494">
        <f>'Total Alt Sched @ 6.5%'!AM31</f>
        <v>136151544.07979918</v>
      </c>
      <c r="M20" s="494">
        <f>'Total Alt Sched @ 6.5%'!AQ31</f>
        <v>168518212.9756155</v>
      </c>
      <c r="N20" s="493">
        <f t="shared" si="7"/>
        <v>397881.1305482462</v>
      </c>
      <c r="O20" s="494">
        <f t="shared" si="7"/>
        <v>13997609.851690866</v>
      </c>
      <c r="P20" s="494">
        <f t="shared" si="0"/>
        <v>-6134353.8242907003</v>
      </c>
      <c r="Q20" s="495">
        <f t="shared" si="1"/>
        <v>8136432.8670431301</v>
      </c>
      <c r="S20" s="506">
        <f t="shared" si="9"/>
        <v>2033</v>
      </c>
      <c r="T20" s="52">
        <f t="shared" si="12"/>
        <v>15</v>
      </c>
      <c r="U20" s="121">
        <f t="shared" si="13"/>
        <v>311593483.32015306</v>
      </c>
      <c r="V20" s="507">
        <f t="shared" si="2"/>
        <v>0.15362749325643432</v>
      </c>
      <c r="W20" s="507">
        <f t="shared" si="3"/>
        <v>0.15235056947000378</v>
      </c>
      <c r="X20" s="507">
        <f t="shared" si="4"/>
        <v>0.10870482766490544</v>
      </c>
      <c r="Y20" s="507">
        <f t="shared" si="5"/>
        <v>0.17331453471483296</v>
      </c>
      <c r="Z20" s="508">
        <f t="shared" si="6"/>
        <v>0.12751516003191951</v>
      </c>
    </row>
    <row r="21" spans="1:26" x14ac:dyDescent="0.25">
      <c r="A21" s="49">
        <f t="shared" si="8"/>
        <v>17</v>
      </c>
      <c r="B21" s="49">
        <f t="shared" si="8"/>
        <v>2031</v>
      </c>
      <c r="C21" s="49">
        <v>2034</v>
      </c>
      <c r="D21" s="490">
        <f>'Total Curr w2016 Loss'!AA32</f>
        <v>49211375.162997618</v>
      </c>
      <c r="E21" s="491">
        <f>'Total Alt Schedule @ 7%'!AA32</f>
        <v>48895587.965776488</v>
      </c>
      <c r="F21" s="491">
        <f>'Total Alt Schedule @ 7%'!AE32</f>
        <v>33871715.905824818</v>
      </c>
      <c r="G21" s="491">
        <f>'Total Alt Sched @ 6.5%'!AO32</f>
        <v>55623789.969260588</v>
      </c>
      <c r="H21" s="492">
        <f>'Total Alt Sched @ 6.5%'!AS32</f>
        <v>39732892.890472561</v>
      </c>
      <c r="I21" s="493">
        <f>'Total Curr w2016 Loss'!Y32</f>
        <v>81830761.417282075</v>
      </c>
      <c r="J21" s="494">
        <f>'Total Alt Schedule @ 7%'!Y32</f>
        <v>64461789.492071159</v>
      </c>
      <c r="K21" s="494">
        <f>'Total Alt Schedule @ 7%'!AC32</f>
        <v>118678314.81691253</v>
      </c>
      <c r="L21" s="494">
        <f>'Total Alt Sched @ 6.5%'!AM32</f>
        <v>89661930.991634846</v>
      </c>
      <c r="M21" s="494">
        <f>'Total Alt Sched @ 6.5%'!AQ32</f>
        <v>139214463.89526635</v>
      </c>
      <c r="N21" s="493">
        <f t="shared" si="7"/>
        <v>315787.19722113013</v>
      </c>
      <c r="O21" s="494">
        <f t="shared" si="7"/>
        <v>15339659.257172801</v>
      </c>
      <c r="P21" s="494">
        <f t="shared" si="0"/>
        <v>-6412414.80626297</v>
      </c>
      <c r="Q21" s="495">
        <f t="shared" si="1"/>
        <v>9478482.2725250572</v>
      </c>
      <c r="S21" s="506">
        <f t="shared" si="9"/>
        <v>2034</v>
      </c>
      <c r="T21" s="52">
        <f t="shared" si="12"/>
        <v>16</v>
      </c>
      <c r="U21" s="121">
        <f t="shared" si="13"/>
        <v>320941287.81975764</v>
      </c>
      <c r="V21" s="507">
        <f t="shared" si="2"/>
        <v>0.1533345101756898</v>
      </c>
      <c r="W21" s="507">
        <f t="shared" si="3"/>
        <v>0.15235056947000386</v>
      </c>
      <c r="X21" s="507">
        <f t="shared" si="4"/>
        <v>0.1055386676358305</v>
      </c>
      <c r="Y21" s="507">
        <f t="shared" si="5"/>
        <v>0.17331453471483299</v>
      </c>
      <c r="Z21" s="508">
        <f t="shared" si="6"/>
        <v>0.12380112624458206</v>
      </c>
    </row>
    <row r="22" spans="1:26" x14ac:dyDescent="0.25">
      <c r="A22" s="49">
        <f t="shared" si="8"/>
        <v>18</v>
      </c>
      <c r="B22" s="49">
        <f t="shared" si="8"/>
        <v>2032</v>
      </c>
      <c r="C22" s="49">
        <v>2035</v>
      </c>
      <c r="D22" s="490">
        <f>'Total Curr w2016 Loss'!AA33</f>
        <v>6749709.9134872789</v>
      </c>
      <c r="E22" s="491">
        <f>'Total Alt Schedule @ 7%'!AA33</f>
        <v>6560510.8708915673</v>
      </c>
      <c r="F22" s="491">
        <f>'Total Alt Schedule @ 7%'!AE33</f>
        <v>33871715.905824825</v>
      </c>
      <c r="G22" s="491">
        <f>'Total Alt Sched @ 6.5%'!AO33</f>
        <v>13490558.93448019</v>
      </c>
      <c r="H22" s="492">
        <f>'Total Alt Sched @ 6.5%'!AS33</f>
        <v>39732892.890472576</v>
      </c>
      <c r="I22" s="493">
        <f>'Total Curr w2016 Loss'!Y33</f>
        <v>36430829.761304393</v>
      </c>
      <c r="J22" s="494">
        <f>'Total Alt Schedule @ 7%'!Y33</f>
        <v>18421309.360440724</v>
      </c>
      <c r="K22" s="494">
        <f>'Total Alt Schedule @ 7%'!AC33</f>
        <v>91948621.48145473</v>
      </c>
      <c r="L22" s="494">
        <f>'Total Alt Sched @ 6.5%'!AM33</f>
        <v>38137250.4972945</v>
      </c>
      <c r="M22" s="494">
        <f>'Total Alt Sched @ 6.5%'!AQ33</f>
        <v>107859452.37929279</v>
      </c>
      <c r="N22" s="493">
        <f t="shared" si="7"/>
        <v>189199.04259571154</v>
      </c>
      <c r="O22" s="494">
        <f t="shared" si="7"/>
        <v>-27122005.992337547</v>
      </c>
      <c r="P22" s="494">
        <f t="shared" si="0"/>
        <v>-6740849.0209929114</v>
      </c>
      <c r="Q22" s="495">
        <f t="shared" si="1"/>
        <v>-32983182.976985298</v>
      </c>
      <c r="S22" s="506">
        <f t="shared" si="9"/>
        <v>2035</v>
      </c>
      <c r="T22" s="52">
        <f t="shared" si="12"/>
        <v>17</v>
      </c>
      <c r="U22" s="121">
        <f t="shared" si="13"/>
        <v>330569526.45435035</v>
      </c>
      <c r="V22" s="507">
        <f t="shared" si="2"/>
        <v>2.0418427511706444E-2</v>
      </c>
      <c r="W22" s="507">
        <f t="shared" si="3"/>
        <v>1.9846084850163991E-2</v>
      </c>
      <c r="X22" s="507">
        <f t="shared" si="4"/>
        <v>0.10246472586002964</v>
      </c>
      <c r="Y22" s="507">
        <f t="shared" si="5"/>
        <v>4.0810050094993118E-2</v>
      </c>
      <c r="Z22" s="508">
        <f t="shared" si="6"/>
        <v>0.1201952681986234</v>
      </c>
    </row>
    <row r="23" spans="1:26" x14ac:dyDescent="0.25">
      <c r="A23" s="49">
        <f t="shared" si="8"/>
        <v>19</v>
      </c>
      <c r="B23" s="49">
        <f t="shared" si="8"/>
        <v>2033</v>
      </c>
      <c r="C23" s="49">
        <v>2036</v>
      </c>
      <c r="D23" s="490">
        <f>'Total Curr w2016 Loss'!AA34</f>
        <v>5324649.8295193911</v>
      </c>
      <c r="E23" s="491">
        <f>'Total Alt Schedule @ 7%'!AA34</f>
        <v>6757326.1970183151</v>
      </c>
      <c r="F23" s="491">
        <f>'Total Alt Schedule @ 7%'!AE34</f>
        <v>33871715.905824825</v>
      </c>
      <c r="G23" s="491">
        <f>'Total Alt Sched @ 6.5%'!AO34</f>
        <v>13895275.702514591</v>
      </c>
      <c r="H23" s="492">
        <f>'Total Alt Sched @ 6.5%'!AS34</f>
        <v>39732892.890472569</v>
      </c>
      <c r="I23" s="493">
        <f>'Total Curr w2016 Loss'!Y34</f>
        <v>30451388.735848606</v>
      </c>
      <c r="J23" s="494">
        <f>'Total Alt Schedule @ 7%'!Y34</f>
        <v>12866499.112638876</v>
      </c>
      <c r="K23" s="494">
        <f>'Total Alt Schedule @ 7%'!AC34</f>
        <v>63347849.612514868</v>
      </c>
      <c r="L23" s="494">
        <f>'Total Alt Sched @ 6.5%'!AM34</f>
        <v>26578169.446592622</v>
      </c>
      <c r="M23" s="494">
        <f>'Total Alt Sched @ 6.5%'!AQ34</f>
        <v>74309590.057201028</v>
      </c>
      <c r="N23" s="493">
        <f t="shared" si="7"/>
        <v>-1432676.367498924</v>
      </c>
      <c r="O23" s="494">
        <f t="shared" si="7"/>
        <v>-28547066.076305434</v>
      </c>
      <c r="P23" s="494">
        <f t="shared" si="0"/>
        <v>-8570625.8729951996</v>
      </c>
      <c r="Q23" s="495">
        <f t="shared" si="1"/>
        <v>-34408243.060953178</v>
      </c>
      <c r="S23" s="506">
        <f t="shared" si="9"/>
        <v>2036</v>
      </c>
      <c r="T23" s="52">
        <f t="shared" si="12"/>
        <v>18</v>
      </c>
      <c r="U23" s="121">
        <f t="shared" si="13"/>
        <v>340486612.24798089</v>
      </c>
      <c r="V23" s="507">
        <f t="shared" si="2"/>
        <v>1.5638352986523236E-2</v>
      </c>
      <c r="W23" s="507">
        <f t="shared" si="3"/>
        <v>1.9846084850163991E-2</v>
      </c>
      <c r="X23" s="507">
        <f t="shared" si="4"/>
        <v>9.9480316368960806E-2</v>
      </c>
      <c r="Y23" s="507">
        <f t="shared" si="5"/>
        <v>4.0810050094993097E-2</v>
      </c>
      <c r="Z23" s="508">
        <f t="shared" si="6"/>
        <v>0.11669443514429453</v>
      </c>
    </row>
    <row r="24" spans="1:26" x14ac:dyDescent="0.25">
      <c r="A24" s="49">
        <f t="shared" si="8"/>
        <v>20</v>
      </c>
      <c r="B24" s="49">
        <f t="shared" si="8"/>
        <v>2034</v>
      </c>
      <c r="C24" s="49">
        <v>2037</v>
      </c>
      <c r="D24" s="490">
        <f>'Total Curr w2016 Loss'!AA35</f>
        <v>3808011.4015912903</v>
      </c>
      <c r="E24" s="491">
        <f>'Total Alt Schedule @ 7%'!AA35</f>
        <v>6960045.9829288591</v>
      </c>
      <c r="F24" s="491">
        <f>'Total Alt Schedule @ 7%'!AE35</f>
        <v>33871715.905824803</v>
      </c>
      <c r="G24" s="491">
        <f>'Total Alt Sched @ 6.5%'!AO35</f>
        <v>14312133.973590016</v>
      </c>
      <c r="H24" s="492">
        <f>'Total Alt Sched @ 6.5%'!AS35</f>
        <v>39732892.890472554</v>
      </c>
      <c r="I24" s="493">
        <f>'Total Curr w2016 Loss'!Y35</f>
        <v>24648247.004398748</v>
      </c>
      <c r="J24" s="494">
        <f>'Total Alt Schedule @ 7%'!Y35</f>
        <v>6740631.8092029039</v>
      </c>
      <c r="K24" s="494">
        <f>'Total Alt Schedule @ 7%'!AC35</f>
        <v>32745023.712749224</v>
      </c>
      <c r="L24" s="494">
        <f>'Total Alt Sched @ 6.5%'!AM35</f>
        <v>13892752.882133888</v>
      </c>
      <c r="M24" s="494">
        <f>'Total Alt Sched @ 6.5%'!AQ35</f>
        <v>38411237.372562841</v>
      </c>
      <c r="N24" s="493">
        <f t="shared" si="7"/>
        <v>-3152034.5813375688</v>
      </c>
      <c r="O24" s="494">
        <f t="shared" si="7"/>
        <v>-30063704.504233513</v>
      </c>
      <c r="P24" s="494">
        <f t="shared" si="0"/>
        <v>-10504122.571998727</v>
      </c>
      <c r="Q24" s="495">
        <f t="shared" si="1"/>
        <v>-35924881.48888126</v>
      </c>
      <c r="S24" s="506">
        <f t="shared" si="9"/>
        <v>2037</v>
      </c>
      <c r="T24" s="52">
        <f t="shared" si="12"/>
        <v>19</v>
      </c>
      <c r="U24" s="121">
        <f t="shared" si="13"/>
        <v>350701210.61542034</v>
      </c>
      <c r="V24" s="507">
        <f t="shared" si="2"/>
        <v>1.0858278461340024E-2</v>
      </c>
      <c r="W24" s="507">
        <f t="shared" si="3"/>
        <v>1.9846084850163974E-2</v>
      </c>
      <c r="X24" s="507">
        <f t="shared" si="4"/>
        <v>9.6582831426175478E-2</v>
      </c>
      <c r="Y24" s="507">
        <f t="shared" si="5"/>
        <v>4.0810050094993063E-2</v>
      </c>
      <c r="Z24" s="508">
        <f t="shared" si="6"/>
        <v>0.11329556810125678</v>
      </c>
    </row>
    <row r="25" spans="1:26" x14ac:dyDescent="0.25">
      <c r="A25" s="49">
        <f t="shared" si="8"/>
        <v>21</v>
      </c>
      <c r="B25" s="49">
        <f t="shared" si="8"/>
        <v>2035</v>
      </c>
      <c r="C25" s="49">
        <v>2038</v>
      </c>
      <c r="D25" s="490">
        <f>'Total Curr w2016 Loss'!AA36</f>
        <v>2195582.483140938</v>
      </c>
      <c r="E25" s="491"/>
      <c r="F25" s="491"/>
      <c r="G25" s="491"/>
      <c r="H25" s="492"/>
      <c r="I25" s="493">
        <f>'Total Curr w2016 Loss'!Y36</f>
        <v>20005379.864066087</v>
      </c>
      <c r="J25" s="494">
        <v>0</v>
      </c>
      <c r="K25" s="494"/>
      <c r="L25" s="494">
        <v>0</v>
      </c>
      <c r="M25" s="494">
        <v>0</v>
      </c>
      <c r="N25" s="493">
        <f t="shared" si="7"/>
        <v>2195582.483140938</v>
      </c>
      <c r="O25" s="494">
        <f t="shared" si="7"/>
        <v>2195582.483140938</v>
      </c>
      <c r="P25" s="494">
        <f t="shared" si="0"/>
        <v>2195582.483140938</v>
      </c>
      <c r="Q25" s="495"/>
      <c r="S25" s="506">
        <f t="shared" si="9"/>
        <v>2038</v>
      </c>
      <c r="T25" s="52">
        <f t="shared" si="12"/>
        <v>20</v>
      </c>
      <c r="U25" s="121">
        <f t="shared" si="13"/>
        <v>361222246.93388295</v>
      </c>
      <c r="V25" s="507">
        <f t="shared" ref="V25:V35" si="14">D25/$U25</f>
        <v>6.0782039361568195E-3</v>
      </c>
      <c r="W25" s="507"/>
      <c r="X25" s="507"/>
      <c r="Y25" s="507"/>
      <c r="Z25" s="508"/>
    </row>
    <row r="26" spans="1:26" x14ac:dyDescent="0.25">
      <c r="A26" s="49">
        <f t="shared" si="8"/>
        <v>22</v>
      </c>
      <c r="B26" s="49">
        <f t="shared" si="8"/>
        <v>2036</v>
      </c>
      <c r="C26" s="49">
        <v>2039</v>
      </c>
      <c r="D26" s="490">
        <f>'Total Curr w2016 Loss'!AA37</f>
        <v>482980.61932212953</v>
      </c>
      <c r="E26" s="491"/>
      <c r="F26" s="491"/>
      <c r="G26" s="491"/>
      <c r="H26" s="492"/>
      <c r="I26" s="493">
        <f>'Total Curr w2016 Loss'!Y37</f>
        <v>16516642.499801524</v>
      </c>
      <c r="J26" s="494"/>
      <c r="K26" s="494"/>
      <c r="L26" s="494"/>
      <c r="M26" s="494"/>
      <c r="N26" s="493">
        <f t="shared" si="7"/>
        <v>482980.61932212953</v>
      </c>
      <c r="O26" s="494">
        <f t="shared" si="7"/>
        <v>482980.61932212953</v>
      </c>
      <c r="P26" s="494">
        <f t="shared" si="0"/>
        <v>482980.61932212953</v>
      </c>
      <c r="Q26" s="495"/>
      <c r="S26" s="506">
        <f t="shared" si="9"/>
        <v>2039</v>
      </c>
      <c r="T26" s="52">
        <f t="shared" si="12"/>
        <v>21</v>
      </c>
      <c r="U26" s="121">
        <f t="shared" si="13"/>
        <v>372058914.34189945</v>
      </c>
      <c r="V26" s="507">
        <f t="shared" si="14"/>
        <v>1.2981294109736068E-3</v>
      </c>
      <c r="W26" s="507"/>
      <c r="X26" s="507"/>
      <c r="Y26" s="507"/>
      <c r="Z26" s="508"/>
    </row>
    <row r="27" spans="1:26" x14ac:dyDescent="0.25">
      <c r="A27" s="49">
        <f t="shared" si="8"/>
        <v>23</v>
      </c>
      <c r="B27" s="49">
        <f t="shared" si="8"/>
        <v>2037</v>
      </c>
      <c r="C27" s="49">
        <v>2040</v>
      </c>
      <c r="D27" s="490">
        <f>'Total Curr w2016 Loss'!AA38</f>
        <v>497470.03790179268</v>
      </c>
      <c r="E27" s="491"/>
      <c r="F27" s="491"/>
      <c r="G27" s="491"/>
      <c r="H27" s="492"/>
      <c r="I27" s="493">
        <f>'Total Curr w2016 Loss'!Y38</f>
        <v>14947292.50750396</v>
      </c>
      <c r="J27" s="494"/>
      <c r="K27" s="494"/>
      <c r="L27" s="494"/>
      <c r="M27" s="494"/>
      <c r="N27" s="493">
        <f t="shared" si="7"/>
        <v>497470.03790179268</v>
      </c>
      <c r="O27" s="494">
        <f t="shared" si="7"/>
        <v>497470.03790179268</v>
      </c>
      <c r="P27" s="494">
        <f t="shared" si="0"/>
        <v>497470.03790179268</v>
      </c>
      <c r="Q27" s="495"/>
      <c r="S27" s="506">
        <f t="shared" si="9"/>
        <v>2040</v>
      </c>
      <c r="T27" s="52">
        <f t="shared" si="12"/>
        <v>22</v>
      </c>
      <c r="U27" s="121">
        <f t="shared" si="13"/>
        <v>383220681.77215648</v>
      </c>
      <c r="V27" s="507">
        <f t="shared" si="14"/>
        <v>1.2981294109736046E-3</v>
      </c>
      <c r="W27" s="507"/>
      <c r="X27" s="507"/>
      <c r="Y27" s="507"/>
      <c r="Z27" s="508"/>
    </row>
    <row r="28" spans="1:26" x14ac:dyDescent="0.25">
      <c r="A28" s="49">
        <f t="shared" si="8"/>
        <v>24</v>
      </c>
      <c r="B28" s="49">
        <f t="shared" si="8"/>
        <v>2038</v>
      </c>
      <c r="C28" s="49">
        <v>2041</v>
      </c>
      <c r="D28" s="490">
        <f>'Total Curr w2016 Loss'!AA39</f>
        <v>512394.13903884869</v>
      </c>
      <c r="E28" s="491"/>
      <c r="F28" s="491"/>
      <c r="G28" s="491"/>
      <c r="H28" s="492"/>
      <c r="I28" s="493">
        <f>'Total Curr w2016 Loss'!Y39</f>
        <v>14464674.546735369</v>
      </c>
      <c r="J28" s="494"/>
      <c r="K28" s="494"/>
      <c r="L28" s="494"/>
      <c r="M28" s="494"/>
      <c r="N28" s="493">
        <f t="shared" si="7"/>
        <v>512394.13903884869</v>
      </c>
      <c r="O28" s="494">
        <f t="shared" si="7"/>
        <v>512394.13903884869</v>
      </c>
      <c r="P28" s="494">
        <f t="shared" si="0"/>
        <v>512394.13903884869</v>
      </c>
      <c r="Q28" s="495"/>
      <c r="S28" s="506">
        <f t="shared" si="9"/>
        <v>2041</v>
      </c>
      <c r="T28" s="52">
        <f t="shared" si="12"/>
        <v>23</v>
      </c>
      <c r="U28" s="121">
        <f t="shared" si="13"/>
        <v>394717302.22532117</v>
      </c>
      <c r="V28" s="507">
        <f t="shared" si="14"/>
        <v>1.2981294109736103E-3</v>
      </c>
      <c r="W28" s="507"/>
      <c r="X28" s="507"/>
      <c r="Y28" s="507"/>
      <c r="Z28" s="508"/>
    </row>
    <row r="29" spans="1:26" x14ac:dyDescent="0.25">
      <c r="A29" s="49">
        <f t="shared" si="8"/>
        <v>25</v>
      </c>
      <c r="B29" s="49">
        <f t="shared" si="8"/>
        <v>2039</v>
      </c>
      <c r="C29" s="49">
        <v>2042</v>
      </c>
      <c r="D29" s="490">
        <f>'Total Curr w2016 Loss'!AA40</f>
        <v>527765.9632100137</v>
      </c>
      <c r="E29" s="491"/>
      <c r="F29" s="491"/>
      <c r="G29" s="491"/>
      <c r="H29" s="492"/>
      <c r="I29" s="493">
        <f>'Total Curr w2016 Loss'!Y40</f>
        <v>14947177.146256115</v>
      </c>
      <c r="J29" s="494"/>
      <c r="K29" s="494"/>
      <c r="L29" s="494"/>
      <c r="M29" s="494"/>
      <c r="N29" s="493">
        <f t="shared" si="7"/>
        <v>527765.9632100137</v>
      </c>
      <c r="O29" s="494">
        <f t="shared" si="7"/>
        <v>527765.9632100137</v>
      </c>
      <c r="P29" s="494">
        <f t="shared" si="0"/>
        <v>527765.9632100137</v>
      </c>
      <c r="Q29" s="495"/>
      <c r="S29" s="506">
        <f t="shared" si="9"/>
        <v>2042</v>
      </c>
      <c r="T29" s="52">
        <f t="shared" si="12"/>
        <v>24</v>
      </c>
      <c r="U29" s="121">
        <f t="shared" si="13"/>
        <v>406558821.29208082</v>
      </c>
      <c r="V29" s="507">
        <f t="shared" si="14"/>
        <v>1.2981294109736092E-3</v>
      </c>
      <c r="W29" s="507"/>
      <c r="X29" s="507"/>
      <c r="Y29" s="507"/>
      <c r="Z29" s="508"/>
    </row>
    <row r="30" spans="1:26" x14ac:dyDescent="0.25">
      <c r="A30" s="49">
        <f t="shared" si="8"/>
        <v>26</v>
      </c>
      <c r="B30" s="49">
        <f t="shared" si="8"/>
        <v>2040</v>
      </c>
      <c r="C30" s="49">
        <v>2043</v>
      </c>
      <c r="D30" s="490">
        <f>'Total Curr w2016 Loss'!AA41</f>
        <v>2468348.9959005918</v>
      </c>
      <c r="E30" s="491"/>
      <c r="F30" s="491"/>
      <c r="G30" s="491"/>
      <c r="H30" s="492"/>
      <c r="I30" s="493">
        <f>'Total Curr w2016 Loss'!Y41</f>
        <v>15447554.189180791</v>
      </c>
      <c r="J30" s="494"/>
      <c r="K30" s="494"/>
      <c r="L30" s="494"/>
      <c r="M30" s="494"/>
      <c r="N30" s="493">
        <f t="shared" si="7"/>
        <v>2468348.9959005918</v>
      </c>
      <c r="O30" s="494">
        <f t="shared" si="7"/>
        <v>2468348.9959005918</v>
      </c>
      <c r="P30" s="494">
        <f t="shared" si="0"/>
        <v>2468348.9959005918</v>
      </c>
      <c r="Q30" s="495"/>
      <c r="S30" s="506">
        <f t="shared" si="9"/>
        <v>2043</v>
      </c>
      <c r="T30" s="52">
        <f t="shared" si="12"/>
        <v>25</v>
      </c>
      <c r="U30" s="121">
        <f t="shared" si="13"/>
        <v>418755585.93084323</v>
      </c>
      <c r="V30" s="507">
        <f t="shared" si="14"/>
        <v>5.8944861366177345E-3</v>
      </c>
      <c r="W30" s="507"/>
      <c r="X30" s="507"/>
      <c r="Y30" s="507"/>
      <c r="Z30" s="508"/>
    </row>
    <row r="31" spans="1:26" x14ac:dyDescent="0.25">
      <c r="A31" s="49">
        <f t="shared" si="8"/>
        <v>27</v>
      </c>
      <c r="B31" s="49">
        <f t="shared" si="8"/>
        <v>2041</v>
      </c>
      <c r="C31" s="49">
        <v>2044</v>
      </c>
      <c r="D31" s="490">
        <f>'Total Curr w2016 Loss'!AA42</f>
        <v>3698008.0249103205</v>
      </c>
      <c r="E31" s="491"/>
      <c r="F31" s="491"/>
      <c r="G31" s="491"/>
      <c r="H31" s="492"/>
      <c r="I31" s="493">
        <f>'Total Curr w2016 Loss'!Y42</f>
        <v>13975602.927444577</v>
      </c>
      <c r="J31" s="494"/>
      <c r="K31" s="494"/>
      <c r="L31" s="494"/>
      <c r="M31" s="494"/>
      <c r="N31" s="493">
        <f t="shared" si="7"/>
        <v>3698008.0249103205</v>
      </c>
      <c r="O31" s="494">
        <f t="shared" si="7"/>
        <v>3698008.0249103205</v>
      </c>
      <c r="P31" s="494">
        <f t="shared" si="0"/>
        <v>3698008.0249103205</v>
      </c>
      <c r="Q31" s="495"/>
      <c r="S31" s="506">
        <f t="shared" si="9"/>
        <v>2044</v>
      </c>
      <c r="T31" s="52">
        <f t="shared" si="12"/>
        <v>26</v>
      </c>
      <c r="U31" s="121">
        <f t="shared" si="13"/>
        <v>431318253.50876856</v>
      </c>
      <c r="V31" s="507">
        <f t="shared" si="14"/>
        <v>8.5737341158809571E-3</v>
      </c>
      <c r="W31" s="507"/>
      <c r="X31" s="507"/>
      <c r="Y31" s="507"/>
      <c r="Z31" s="508"/>
    </row>
    <row r="32" spans="1:26" x14ac:dyDescent="0.25">
      <c r="A32" s="49">
        <f t="shared" si="8"/>
        <v>28</v>
      </c>
      <c r="B32" s="49">
        <f t="shared" si="8"/>
        <v>2042</v>
      </c>
      <c r="C32" s="49">
        <v>2045</v>
      </c>
      <c r="D32" s="490">
        <f>'Total Curr w2016 Loss'!AA43</f>
        <v>3693607.4421215127</v>
      </c>
      <c r="E32" s="491"/>
      <c r="F32" s="491"/>
      <c r="G32" s="491"/>
      <c r="H32" s="492"/>
      <c r="I32" s="493">
        <f>'Total Curr w2016 Loss'!Y43</f>
        <v>11128645.887288693</v>
      </c>
      <c r="J32" s="494"/>
      <c r="K32" s="494"/>
      <c r="L32" s="494"/>
      <c r="M32" s="494"/>
      <c r="N32" s="493">
        <f t="shared" si="7"/>
        <v>3693607.4421215127</v>
      </c>
      <c r="O32" s="494">
        <f t="shared" si="7"/>
        <v>3693607.4421215127</v>
      </c>
      <c r="P32" s="494">
        <f t="shared" si="0"/>
        <v>3693607.4421215127</v>
      </c>
      <c r="Q32" s="495"/>
      <c r="S32" s="506">
        <f t="shared" si="9"/>
        <v>2045</v>
      </c>
      <c r="T32" s="52">
        <f t="shared" si="12"/>
        <v>27</v>
      </c>
      <c r="U32" s="121">
        <f t="shared" si="13"/>
        <v>444257801.11403161</v>
      </c>
      <c r="V32" s="507">
        <f t="shared" si="14"/>
        <v>8.3141082336862359E-3</v>
      </c>
      <c r="W32" s="507"/>
      <c r="X32" s="507"/>
      <c r="Y32" s="507"/>
      <c r="Z32" s="508"/>
    </row>
    <row r="33" spans="1:26" x14ac:dyDescent="0.25">
      <c r="A33" s="49">
        <f t="shared" si="8"/>
        <v>29</v>
      </c>
      <c r="B33" s="49">
        <f t="shared" si="8"/>
        <v>2043</v>
      </c>
      <c r="C33" s="49">
        <v>2046</v>
      </c>
      <c r="D33" s="490">
        <f>'Total Curr w2016 Loss'!AA44</f>
        <v>3685614.6171429558</v>
      </c>
      <c r="E33" s="491"/>
      <c r="F33" s="491"/>
      <c r="G33" s="491"/>
      <c r="H33" s="492"/>
      <c r="I33" s="493">
        <f>'Total Curr w2016 Loss'!Y44</f>
        <v>8086953.8525537541</v>
      </c>
      <c r="J33" s="494"/>
      <c r="K33" s="494"/>
      <c r="L33" s="494"/>
      <c r="M33" s="494"/>
      <c r="N33" s="493">
        <f t="shared" si="7"/>
        <v>3685614.6171429558</v>
      </c>
      <c r="O33" s="494">
        <f t="shared" si="7"/>
        <v>3685614.6171429558</v>
      </c>
      <c r="P33" s="494">
        <f t="shared" si="0"/>
        <v>3685614.6171429558</v>
      </c>
      <c r="Q33" s="495"/>
      <c r="S33" s="506">
        <f t="shared" si="9"/>
        <v>2046</v>
      </c>
      <c r="T33" s="52">
        <f t="shared" si="12"/>
        <v>28</v>
      </c>
      <c r="U33" s="121">
        <f t="shared" si="13"/>
        <v>457585535.14745259</v>
      </c>
      <c r="V33" s="507">
        <f t="shared" si="14"/>
        <v>8.0544823514915112E-3</v>
      </c>
      <c r="W33" s="507"/>
      <c r="X33" s="507"/>
      <c r="Y33" s="507"/>
      <c r="Z33" s="508"/>
    </row>
    <row r="34" spans="1:26" x14ac:dyDescent="0.25">
      <c r="A34" s="49">
        <f t="shared" si="8"/>
        <v>30</v>
      </c>
      <c r="B34" s="49">
        <f t="shared" si="8"/>
        <v>2044</v>
      </c>
      <c r="C34" s="49">
        <v>2047</v>
      </c>
      <c r="D34" s="490">
        <f>'Total Curr w2016 Loss'!AA45</f>
        <v>3673817.9759677779</v>
      </c>
      <c r="E34" s="491"/>
      <c r="F34" s="491"/>
      <c r="G34" s="491"/>
      <c r="H34" s="492"/>
      <c r="I34" s="493">
        <f>'Total Curr w2016 Loss'!Y45</f>
        <v>4840611.2178338747</v>
      </c>
      <c r="J34" s="494"/>
      <c r="K34" s="494"/>
      <c r="L34" s="494"/>
      <c r="M34" s="494"/>
      <c r="N34" s="493">
        <f t="shared" si="7"/>
        <v>3673817.9759677779</v>
      </c>
      <c r="O34" s="494">
        <f t="shared" si="7"/>
        <v>3673817.9759677779</v>
      </c>
      <c r="P34" s="494">
        <f t="shared" si="0"/>
        <v>3673817.9759677779</v>
      </c>
      <c r="Q34" s="495"/>
      <c r="S34" s="506">
        <f t="shared" si="9"/>
        <v>2047</v>
      </c>
      <c r="T34" s="52">
        <f t="shared" si="12"/>
        <v>29</v>
      </c>
      <c r="U34" s="121">
        <f t="shared" si="13"/>
        <v>471313101.20187616</v>
      </c>
      <c r="V34" s="507">
        <f t="shared" si="14"/>
        <v>7.7948564692967917E-3</v>
      </c>
      <c r="W34" s="507"/>
      <c r="X34" s="507"/>
      <c r="Y34" s="507"/>
      <c r="Z34" s="508"/>
    </row>
    <row r="35" spans="1:26" ht="15.75" thickBot="1" x14ac:dyDescent="0.3">
      <c r="A35" s="49">
        <v>31</v>
      </c>
      <c r="B35" s="49">
        <f t="shared" ref="B35" si="15">B34+1</f>
        <v>2045</v>
      </c>
      <c r="C35" s="49">
        <v>2048</v>
      </c>
      <c r="D35" s="496">
        <f>'Total Curr w2016 Loss'!AA46</f>
        <v>1426683.6462954208</v>
      </c>
      <c r="E35" s="497"/>
      <c r="F35" s="497"/>
      <c r="G35" s="497"/>
      <c r="H35" s="498"/>
      <c r="I35" s="499">
        <f>'Total Curr w2016 Loss'!Y46</f>
        <v>1379227.1391988057</v>
      </c>
      <c r="J35" s="500"/>
      <c r="K35" s="500"/>
      <c r="L35" s="500"/>
      <c r="M35" s="500"/>
      <c r="N35" s="499">
        <f t="shared" si="7"/>
        <v>1426683.6462954208</v>
      </c>
      <c r="O35" s="500">
        <f t="shared" si="7"/>
        <v>1426683.6462954208</v>
      </c>
      <c r="P35" s="500">
        <f t="shared" si="0"/>
        <v>1426683.6462954208</v>
      </c>
      <c r="Q35" s="501"/>
      <c r="S35" s="509">
        <f t="shared" si="9"/>
        <v>2048</v>
      </c>
      <c r="T35" s="510">
        <f t="shared" si="12"/>
        <v>30</v>
      </c>
      <c r="U35" s="511">
        <f t="shared" si="13"/>
        <v>485452494.23793244</v>
      </c>
      <c r="V35" s="512">
        <f t="shared" si="14"/>
        <v>2.93887386145794E-3</v>
      </c>
      <c r="W35" s="512"/>
      <c r="X35" s="512"/>
      <c r="Y35" s="512"/>
      <c r="Z35" s="513"/>
    </row>
    <row r="36" spans="1:26" s="1" customFormat="1" x14ac:dyDescent="0.25">
      <c r="A36" s="1" t="s">
        <v>114</v>
      </c>
      <c r="D36" s="523">
        <f>SUM(D5:D35)</f>
        <v>692554032.77326882</v>
      </c>
      <c r="E36" s="524">
        <f t="shared" ref="E36:G36" si="16">SUM(E5:E35)</f>
        <v>683355940.07580483</v>
      </c>
      <c r="F36" s="524">
        <f t="shared" ref="F36" si="17">SUM(F5:F35)</f>
        <v>680341082.96982944</v>
      </c>
      <c r="G36" s="514">
        <f t="shared" si="16"/>
        <v>796017859.45631123</v>
      </c>
      <c r="H36" s="515">
        <f t="shared" ref="H36" si="18">SUM(H5:H35)</f>
        <v>798067610.56293976</v>
      </c>
      <c r="I36" s="478"/>
      <c r="J36" s="478"/>
      <c r="K36" s="478"/>
      <c r="L36" s="478"/>
      <c r="M36" s="478"/>
      <c r="N36" s="478"/>
      <c r="O36" s="478"/>
      <c r="P36" s="478"/>
      <c r="Q36" s="478"/>
      <c r="R36" s="478"/>
    </row>
    <row r="37" spans="1:26" s="1" customFormat="1" x14ac:dyDescent="0.25">
      <c r="A37" s="1" t="s">
        <v>229</v>
      </c>
      <c r="D37" s="525">
        <f>NPV(0.03,D5:D14)</f>
        <v>283089591.19296473</v>
      </c>
      <c r="E37" s="526">
        <f t="shared" ref="E37:H37" si="19">NPV(0.03,E5:E14)</f>
        <v>295826348.48544431</v>
      </c>
      <c r="F37" s="526">
        <f t="shared" si="19"/>
        <v>291692145.04349434</v>
      </c>
      <c r="G37" s="502">
        <f t="shared" si="19"/>
        <v>336533077.1161806</v>
      </c>
      <c r="H37" s="516">
        <f t="shared" si="19"/>
        <v>342166685.2730152</v>
      </c>
      <c r="I37" s="478"/>
      <c r="J37" s="478"/>
      <c r="K37" s="478"/>
      <c r="L37" s="478"/>
      <c r="M37" s="478"/>
      <c r="N37" s="478"/>
      <c r="O37" s="478"/>
      <c r="P37" s="478"/>
      <c r="Q37" s="478"/>
      <c r="R37" s="478"/>
    </row>
    <row r="38" spans="1:26" s="1" customFormat="1" x14ac:dyDescent="0.25">
      <c r="A38" s="1" t="s">
        <v>230</v>
      </c>
      <c r="D38" s="525">
        <f>NPV(0.03,D5:D24)</f>
        <v>501786782.325014</v>
      </c>
      <c r="E38" s="526">
        <f t="shared" ref="E38:H38" si="20">NPV(0.03,E5:E24)</f>
        <v>514465618.55156451</v>
      </c>
      <c r="F38" s="532">
        <f t="shared" si="20"/>
        <v>506685139.80656213</v>
      </c>
      <c r="G38" s="502">
        <f t="shared" si="20"/>
        <v>595879075.8130368</v>
      </c>
      <c r="H38" s="516">
        <f t="shared" si="20"/>
        <v>594362164.73657274</v>
      </c>
      <c r="I38" s="478"/>
      <c r="J38" s="478"/>
      <c r="K38" s="478"/>
      <c r="L38" s="478"/>
      <c r="M38" s="478"/>
      <c r="N38" s="478"/>
      <c r="O38" s="478"/>
      <c r="P38" s="478"/>
      <c r="Q38" s="478"/>
      <c r="R38" s="478"/>
    </row>
    <row r="39" spans="1:26" s="1" customFormat="1" ht="15.75" thickBot="1" x14ac:dyDescent="0.3">
      <c r="A39" s="1" t="s">
        <v>231</v>
      </c>
      <c r="C39" s="363"/>
      <c r="D39" s="527">
        <f>NPV(0.03,D5:D35)</f>
        <v>512047221.69365126</v>
      </c>
      <c r="E39" s="531">
        <f t="shared" ref="E39:G39" si="21">NPV(0.03,E5:E35)</f>
        <v>514465618.55156451</v>
      </c>
      <c r="F39" s="533">
        <f t="shared" ref="F39" si="22">NPV(0.03,F5:F35)</f>
        <v>506685139.80656213</v>
      </c>
      <c r="G39" s="522">
        <f t="shared" si="21"/>
        <v>595879075.8130368</v>
      </c>
      <c r="H39" s="517">
        <f t="shared" ref="H39" si="23">NPV(0.03,H5:H35)</f>
        <v>594362164.73657274</v>
      </c>
      <c r="I39" s="478"/>
      <c r="J39" s="478"/>
      <c r="K39" s="478"/>
      <c r="L39" s="478"/>
      <c r="M39" s="478"/>
      <c r="N39" s="478"/>
      <c r="O39" s="478"/>
      <c r="P39" s="478"/>
      <c r="Q39" s="478"/>
      <c r="R39" s="478"/>
    </row>
    <row r="40" spans="1:26" ht="15.75" thickBot="1" x14ac:dyDescent="0.3"/>
    <row r="41" spans="1:26" x14ac:dyDescent="0.25">
      <c r="A41" s="478" t="s">
        <v>240</v>
      </c>
      <c r="D41" s="518">
        <f>$D36-D36</f>
        <v>0</v>
      </c>
      <c r="E41" s="514">
        <f>$D36-E36</f>
        <v>9198092.6974639893</v>
      </c>
      <c r="F41" s="514">
        <f t="shared" ref="F41:H41" si="24">$D36-F36</f>
        <v>12212949.803439379</v>
      </c>
      <c r="G41" s="514">
        <f t="shared" si="24"/>
        <v>-103463826.68304241</v>
      </c>
      <c r="H41" s="515">
        <f t="shared" si="24"/>
        <v>-105513577.78967094</v>
      </c>
    </row>
    <row r="42" spans="1:26" ht="15.75" thickBot="1" x14ac:dyDescent="0.3">
      <c r="A42" s="478" t="s">
        <v>241</v>
      </c>
      <c r="D42" s="519">
        <f>$D37-D37</f>
        <v>0</v>
      </c>
      <c r="E42" s="520">
        <f>$D39-E39</f>
        <v>-2418396.8579132557</v>
      </c>
      <c r="F42" s="534">
        <f t="shared" ref="F42:H42" si="25">$D39-F39</f>
        <v>5362081.8870891333</v>
      </c>
      <c r="G42" s="520">
        <f t="shared" si="25"/>
        <v>-83831854.11938554</v>
      </c>
      <c r="H42" s="521">
        <f t="shared" si="25"/>
        <v>-82314943.042921484</v>
      </c>
    </row>
    <row r="117" spans="1:8" x14ac:dyDescent="0.25">
      <c r="A117" s="49"/>
      <c r="B117" s="49"/>
      <c r="C117" s="50"/>
      <c r="D117" s="96"/>
      <c r="E117" s="96"/>
      <c r="F117" s="96"/>
      <c r="G117" s="96"/>
      <c r="H117" s="96"/>
    </row>
    <row r="118" spans="1:8" x14ac:dyDescent="0.25">
      <c r="B118" s="49"/>
      <c r="C118" s="49"/>
    </row>
    <row r="119" spans="1:8" x14ac:dyDescent="0.25">
      <c r="B119" s="49"/>
      <c r="C119" s="49"/>
    </row>
    <row r="120" spans="1:8" x14ac:dyDescent="0.25">
      <c r="B120" s="49"/>
      <c r="C120" s="49"/>
    </row>
    <row r="121" spans="1:8" x14ac:dyDescent="0.25">
      <c r="B121" s="49"/>
      <c r="C121" s="49"/>
    </row>
  </sheetData>
  <mergeCells count="5">
    <mergeCell ref="A3:C3"/>
    <mergeCell ref="D3:H3"/>
    <mergeCell ref="I3:M3"/>
    <mergeCell ref="N3:Q3"/>
    <mergeCell ref="S3:Z3"/>
  </mergeCells>
  <pageMargins left="0.7" right="0.7" top="0.75" bottom="0.75" header="0.3" footer="0.3"/>
  <pageSetup scale="3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F53"/>
  <sheetViews>
    <sheetView showGridLines="0" workbookViewId="0">
      <selection activeCell="D6" sqref="A6:D6"/>
    </sheetView>
  </sheetViews>
  <sheetFormatPr defaultColWidth="9.140625" defaultRowHeight="15" x14ac:dyDescent="0.25"/>
  <cols>
    <col min="1" max="1" width="3.5703125" style="49" customWidth="1"/>
    <col min="2" max="3" width="5" style="49" bestFit="1" customWidth="1"/>
    <col min="4" max="4" width="14.7109375" style="49" customWidth="1"/>
    <col min="5" max="5" width="6.28515625" style="49" customWidth="1"/>
    <col min="6" max="6" width="12.28515625" style="49" customWidth="1"/>
    <col min="7" max="7" width="13" style="49" bestFit="1" customWidth="1"/>
    <col min="8" max="8" width="9.5703125" style="49" bestFit="1" customWidth="1"/>
    <col min="9" max="9" width="11.85546875" style="49" bestFit="1" customWidth="1"/>
    <col min="10" max="10" width="14.85546875" style="49" customWidth="1"/>
    <col min="11" max="12" width="11.85546875" style="49" customWidth="1"/>
    <col min="13" max="13" width="12.28515625" style="49" customWidth="1"/>
    <col min="14" max="14" width="9.28515625" style="49" customWidth="1"/>
    <col min="15" max="15" width="11.28515625" style="49" customWidth="1"/>
    <col min="16" max="16" width="15.140625" style="49" bestFit="1" customWidth="1"/>
    <col min="17" max="17" width="7" style="49" customWidth="1"/>
    <col min="18" max="18" width="15.5703125" style="49" bestFit="1" customWidth="1"/>
    <col min="19" max="19" width="14" style="50" hidden="1" customWidth="1"/>
    <col min="20" max="20" width="15.28515625" style="49" hidden="1" customWidth="1"/>
    <col min="21" max="21" width="4" style="49" customWidth="1"/>
    <col min="22" max="22" width="15.28515625" style="73" bestFit="1" customWidth="1"/>
    <col min="23" max="23" width="15.28515625" style="49" bestFit="1" customWidth="1"/>
    <col min="24" max="28" width="9.140625" style="49"/>
    <col min="29" max="29" width="4.85546875" style="49" customWidth="1"/>
    <col min="30" max="31" width="9.140625" style="49"/>
    <col min="32" max="32" width="12.5703125" style="215" bestFit="1" customWidth="1"/>
    <col min="33" max="16384" width="9.140625" style="49"/>
  </cols>
  <sheetData>
    <row r="1" spans="1:32" ht="11.25" customHeight="1" thickBot="1" x14ac:dyDescent="0.3"/>
    <row r="2" spans="1:32" ht="27.75" thickTop="1" thickBot="1" x14ac:dyDescent="0.45">
      <c r="D2" s="214" t="s">
        <v>246</v>
      </c>
      <c r="G2" s="246" t="s">
        <v>141</v>
      </c>
      <c r="H2" s="244">
        <v>7.4999999999999997E-2</v>
      </c>
      <c r="J2" s="246" t="s">
        <v>141</v>
      </c>
      <c r="K2" s="244">
        <v>7.4999999999999997E-2</v>
      </c>
      <c r="M2" s="246" t="s">
        <v>141</v>
      </c>
      <c r="N2" s="244">
        <v>7.4999999999999997E-2</v>
      </c>
    </row>
    <row r="3" spans="1:32" ht="27.75" thickTop="1" thickBot="1" x14ac:dyDescent="0.45">
      <c r="D3" s="214"/>
      <c r="G3" s="247" t="s">
        <v>142</v>
      </c>
      <c r="H3" s="244">
        <v>0.03</v>
      </c>
      <c r="J3" s="247" t="s">
        <v>142</v>
      </c>
      <c r="K3" s="244">
        <v>0.03</v>
      </c>
      <c r="M3" s="247" t="s">
        <v>142</v>
      </c>
      <c r="N3" s="244">
        <v>0.03</v>
      </c>
    </row>
    <row r="4" spans="1:32" ht="15.75" thickTop="1" x14ac:dyDescent="0.25">
      <c r="G4" s="248"/>
      <c r="H4" s="250"/>
      <c r="J4" s="248"/>
      <c r="K4" s="250"/>
      <c r="M4" s="248"/>
      <c r="N4" s="250"/>
    </row>
    <row r="5" spans="1:32" x14ac:dyDescent="0.25">
      <c r="G5" s="248" t="s">
        <v>143</v>
      </c>
      <c r="H5" s="250">
        <v>5</v>
      </c>
      <c r="J5" s="248" t="s">
        <v>143</v>
      </c>
      <c r="K5" s="250">
        <v>5</v>
      </c>
      <c r="M5" s="248" t="s">
        <v>143</v>
      </c>
      <c r="N5" s="250">
        <v>5</v>
      </c>
      <c r="W5" s="540" t="s">
        <v>131</v>
      </c>
      <c r="X5" s="540"/>
      <c r="Y5" s="540"/>
      <c r="Z5" s="540"/>
      <c r="AA5" s="540"/>
      <c r="AB5" s="540"/>
    </row>
    <row r="6" spans="1:32" x14ac:dyDescent="0.25">
      <c r="G6" s="248" t="s">
        <v>144</v>
      </c>
      <c r="H6" s="251">
        <f>H15+1-H5</f>
        <v>26</v>
      </c>
      <c r="J6" s="248" t="s">
        <v>144</v>
      </c>
      <c r="K6" s="251">
        <f>K16+1-K5</f>
        <v>26</v>
      </c>
      <c r="M6" s="248" t="s">
        <v>144</v>
      </c>
      <c r="N6" s="251">
        <f>N16+1-N5</f>
        <v>26</v>
      </c>
    </row>
    <row r="7" spans="1:32" x14ac:dyDescent="0.25">
      <c r="G7" s="248" t="s">
        <v>145</v>
      </c>
      <c r="H7" s="252">
        <f>1/(-PMT((1+H2)/(1+H3)-1,H5,1,0,1))</f>
        <v>4.5985546446254109</v>
      </c>
      <c r="J7" s="248" t="s">
        <v>145</v>
      </c>
      <c r="K7" s="252">
        <f>1/(-PMT((1+K2)/(1+K3)-1,K5,1,0,1))</f>
        <v>4.5985546446254109</v>
      </c>
      <c r="M7" s="248" t="s">
        <v>145</v>
      </c>
      <c r="N7" s="252">
        <f>1/(-PMT((1+N2)/(1+N3)-1,N5,1,0,1))</f>
        <v>4.5985546446254109</v>
      </c>
    </row>
    <row r="8" spans="1:32" x14ac:dyDescent="0.25">
      <c r="G8" s="249" t="s">
        <v>146</v>
      </c>
      <c r="H8" s="253">
        <f>1/(-PMT((1+H2)/(1+H3)-1,H6,1,0,1)*(1+H2)^0.5)</f>
        <v>15.461009016959615</v>
      </c>
      <c r="J8" s="249" t="s">
        <v>146</v>
      </c>
      <c r="K8" s="253">
        <f>1/(-PMT((1+K2)/(1+K3)-1,K6,1,0,1)*(1+K2)^0.5)</f>
        <v>15.461009016959615</v>
      </c>
      <c r="M8" s="249" t="s">
        <v>146</v>
      </c>
      <c r="N8" s="253">
        <f>1/(-PMT((1+N2)/(1+N3)-1,N6,1,0,1)*(1+N2)^0.5)</f>
        <v>15.461009016959615</v>
      </c>
    </row>
    <row r="9" spans="1:32" ht="15.75" thickBot="1" x14ac:dyDescent="0.3"/>
    <row r="10" spans="1:32" x14ac:dyDescent="0.25">
      <c r="C10" s="340"/>
      <c r="D10" s="590" t="s">
        <v>198</v>
      </c>
      <c r="E10" s="591"/>
      <c r="F10" s="591"/>
      <c r="G10" s="591"/>
      <c r="H10" s="591"/>
      <c r="I10" s="591"/>
      <c r="J10" s="591"/>
      <c r="K10" s="591"/>
      <c r="L10" s="591"/>
      <c r="M10" s="591"/>
      <c r="N10" s="591"/>
      <c r="O10" s="591"/>
      <c r="P10" s="591"/>
      <c r="Q10" s="591"/>
      <c r="R10" s="592"/>
      <c r="S10" s="280"/>
      <c r="T10" s="281"/>
      <c r="U10" s="219"/>
    </row>
    <row r="11" spans="1:32" x14ac:dyDescent="0.25">
      <c r="D11" s="288"/>
      <c r="E11" s="289" t="s">
        <v>155</v>
      </c>
      <c r="F11" s="290"/>
      <c r="G11" s="30"/>
      <c r="H11" s="254" t="s">
        <v>156</v>
      </c>
      <c r="I11" s="254"/>
      <c r="J11" s="30"/>
      <c r="K11" s="254" t="s">
        <v>157</v>
      </c>
      <c r="L11" s="254"/>
      <c r="M11" s="304"/>
      <c r="N11" s="308" t="s">
        <v>164</v>
      </c>
      <c r="O11" s="305"/>
      <c r="P11" s="576"/>
      <c r="Q11" s="577"/>
      <c r="R11" s="578"/>
      <c r="S11" s="342"/>
      <c r="T11" s="344"/>
      <c r="U11" s="217"/>
    </row>
    <row r="12" spans="1:32" x14ac:dyDescent="0.25">
      <c r="C12" s="359"/>
      <c r="D12" s="593" t="s">
        <v>147</v>
      </c>
      <c r="E12" s="594"/>
      <c r="F12" s="594"/>
      <c r="G12" s="595" t="s">
        <v>163</v>
      </c>
      <c r="H12" s="596"/>
      <c r="I12" s="597"/>
      <c r="J12" s="595" t="s">
        <v>148</v>
      </c>
      <c r="K12" s="596"/>
      <c r="L12" s="597"/>
      <c r="M12" s="595" t="s">
        <v>148</v>
      </c>
      <c r="N12" s="596"/>
      <c r="O12" s="597"/>
      <c r="P12" s="565"/>
      <c r="Q12" s="566"/>
      <c r="R12" s="567"/>
      <c r="S12" s="343"/>
      <c r="T12" s="345"/>
      <c r="U12" s="218"/>
    </row>
    <row r="13" spans="1:32" x14ac:dyDescent="0.25">
      <c r="B13" s="49" t="s">
        <v>161</v>
      </c>
      <c r="C13" s="88" t="s">
        <v>162</v>
      </c>
      <c r="D13" s="74" t="s">
        <v>49</v>
      </c>
      <c r="E13" s="75" t="s">
        <v>50</v>
      </c>
      <c r="F13" s="76" t="s">
        <v>51</v>
      </c>
      <c r="G13" s="77" t="s">
        <v>49</v>
      </c>
      <c r="H13" s="78" t="s">
        <v>50</v>
      </c>
      <c r="I13" s="78" t="s">
        <v>51</v>
      </c>
      <c r="J13" s="77" t="s">
        <v>49</v>
      </c>
      <c r="K13" s="78" t="s">
        <v>50</v>
      </c>
      <c r="L13" s="78" t="s">
        <v>51</v>
      </c>
      <c r="M13" s="74" t="s">
        <v>49</v>
      </c>
      <c r="N13" s="75" t="s">
        <v>50</v>
      </c>
      <c r="O13" s="75" t="s">
        <v>51</v>
      </c>
      <c r="P13" s="122" t="s">
        <v>49</v>
      </c>
      <c r="Q13" s="123" t="s">
        <v>52</v>
      </c>
      <c r="R13" s="294" t="s">
        <v>51</v>
      </c>
      <c r="S13" s="118"/>
      <c r="T13" s="140"/>
      <c r="U13" s="88"/>
    </row>
    <row r="14" spans="1:32" ht="15.75" thickBot="1" x14ac:dyDescent="0.3">
      <c r="B14" s="49">
        <v>2015</v>
      </c>
      <c r="C14" s="49">
        <f t="shared" ref="C14:C45" si="0">B14+1</f>
        <v>2016</v>
      </c>
      <c r="D14" s="87"/>
      <c r="E14" s="88"/>
      <c r="F14" s="88"/>
      <c r="G14" s="69"/>
      <c r="H14" s="70"/>
      <c r="I14" s="70"/>
      <c r="J14" s="306">
        <f>'Misc Curr Schedule '!J14+'Safety Curr Schedule'!J14</f>
        <v>24796022</v>
      </c>
      <c r="K14" s="70"/>
      <c r="L14" s="70"/>
      <c r="M14" s="69"/>
      <c r="N14" s="70"/>
      <c r="O14" s="70"/>
      <c r="P14" s="124">
        <f>'Misc Curr Schedule '!P14+'Safety Curr Schedule'!P14</f>
        <v>275673946</v>
      </c>
      <c r="Q14" s="125"/>
      <c r="R14" s="295"/>
      <c r="S14" s="71"/>
      <c r="T14" s="141"/>
      <c r="U14" s="111"/>
    </row>
    <row r="15" spans="1:32" ht="16.5" thickTop="1" thickBot="1" x14ac:dyDescent="0.3">
      <c r="B15" s="49">
        <f>B14+1</f>
        <v>2016</v>
      </c>
      <c r="C15" s="49">
        <f t="shared" si="0"/>
        <v>2017</v>
      </c>
      <c r="D15" s="87"/>
      <c r="E15" s="75"/>
      <c r="F15" s="75"/>
      <c r="G15" s="291">
        <f>'Misc Curr Schedule '!G15+'Safety Curr Schedule'!G15</f>
        <v>-67321034</v>
      </c>
      <c r="H15" s="292">
        <v>30</v>
      </c>
      <c r="I15" s="58">
        <f>IF(H15&gt;0,-PMT((1+H2)/(1+H3)-1,H6,G15,0,1)*((1+H2)^0.5)/H7,0)</f>
        <v>-946872.69455893629</v>
      </c>
      <c r="J15" s="307">
        <f>'Misc Curr Schedule '!J15+'Safety Curr Schedule'!J15</f>
        <v>26783915</v>
      </c>
      <c r="K15" s="78"/>
      <c r="L15" s="78"/>
      <c r="M15" s="54"/>
      <c r="N15" s="78"/>
      <c r="O15" s="78"/>
      <c r="P15" s="92">
        <f>'Misc Curr Schedule '!P15+'Safety Curr Schedule'!P15</f>
        <v>274867096</v>
      </c>
      <c r="Q15" s="255"/>
      <c r="R15" s="296"/>
      <c r="S15" s="68"/>
      <c r="T15" s="142"/>
      <c r="U15" s="111"/>
    </row>
    <row r="16" spans="1:32" ht="16.5" thickTop="1" thickBot="1" x14ac:dyDescent="0.3">
      <c r="A16" s="49">
        <v>1</v>
      </c>
      <c r="B16" s="49">
        <f>B15+1</f>
        <v>2017</v>
      </c>
      <c r="C16" s="49">
        <f t="shared" si="0"/>
        <v>2018</v>
      </c>
      <c r="D16" s="293">
        <f>'Misc Curr Schedule '!D16+'Safety Curr Schedule'!D16</f>
        <v>315444727</v>
      </c>
      <c r="E16" s="245">
        <v>17</v>
      </c>
      <c r="F16" s="56">
        <f>-PMT(1.075/1.03-1,E16,D16*1.075^0.5,0,1)</f>
        <v>26500896.923967961</v>
      </c>
      <c r="G16" s="54">
        <f>G15*1.075-I15*1.075^0.5</f>
        <v>-71388373.045010552</v>
      </c>
      <c r="H16" s="63">
        <f>H15-1</f>
        <v>29</v>
      </c>
      <c r="I16" s="56">
        <f t="shared" ref="I16:I44" si="1">I$15*MIN(H$5,H$15+1-H16)*(1+H$3)^(H$15-H16)*IF(H16&lt;H$5,H16/H$5,1)</f>
        <v>-1950557.7507914088</v>
      </c>
      <c r="J16" s="200">
        <f>'Misc Curr Schedule '!J16+'Safety Curr Schedule'!J16</f>
        <v>28921514</v>
      </c>
      <c r="K16" s="245">
        <v>30</v>
      </c>
      <c r="L16" s="56">
        <f>IF(K16&gt;0,-PMT((1+K2)/(1+K3)-1,K6,J16,0,1)*((1+K2)^0.5)/K7,0)</f>
        <v>406782.10456339689</v>
      </c>
      <c r="M16" s="299">
        <f>'Misc Curr Schedule '!M16+'Safety Curr Schedule'!M16</f>
        <v>0</v>
      </c>
      <c r="N16" s="245">
        <v>30</v>
      </c>
      <c r="O16" s="56">
        <f>IF(N16&gt;0,-PMT((1+N2)/(1+N3)-1,N6,M16,0,1)*((1+N2)^0.5)/N7,0)</f>
        <v>0</v>
      </c>
      <c r="P16" s="200">
        <f>'Misc Curr Schedule '!P16+'Safety Curr Schedule'!P16</f>
        <v>273117125.31406927</v>
      </c>
      <c r="Q16" s="300">
        <v>30</v>
      </c>
      <c r="R16" s="301">
        <f>F16+I16+L16+O16</f>
        <v>24957121.27773995</v>
      </c>
      <c r="S16" s="71"/>
      <c r="T16" s="141"/>
      <c r="U16" s="111"/>
      <c r="V16" s="73">
        <v>341111128.70063865</v>
      </c>
      <c r="W16" s="80"/>
      <c r="AF16" s="216">
        <v>500000</v>
      </c>
    </row>
    <row r="17" spans="1:32" ht="15.75" thickTop="1" x14ac:dyDescent="0.25">
      <c r="A17" s="49">
        <f>A16+1</f>
        <v>2</v>
      </c>
      <c r="B17" s="49">
        <f t="shared" ref="B17:B45" si="2">B16+1</f>
        <v>2018</v>
      </c>
      <c r="C17" s="49">
        <f t="shared" si="0"/>
        <v>2019</v>
      </c>
      <c r="D17" s="54">
        <f>D16*1.075-F16*1.075^0.5</f>
        <v>311626366.78127778</v>
      </c>
      <c r="E17" s="63">
        <f>E16-1</f>
        <v>16</v>
      </c>
      <c r="F17" s="56">
        <f t="shared" ref="F17:F32" si="3">-PMT(1.075/1.03-1,E17,D17*1.075^0.5,0,1)</f>
        <v>27295923.831687011</v>
      </c>
      <c r="G17" s="54">
        <f t="shared" ref="G17:G44" si="4">G16*1.075-I16*1.075^0.5</f>
        <v>-74720119.703108102</v>
      </c>
      <c r="H17" s="63">
        <f t="shared" ref="H17:H44" si="5">H16-1</f>
        <v>28</v>
      </c>
      <c r="I17" s="56">
        <f t="shared" si="1"/>
        <v>-3013611.7249727263</v>
      </c>
      <c r="J17" s="54">
        <f>J16*1.075-L16*1.075^0.5</f>
        <v>30668866.887256891</v>
      </c>
      <c r="K17" s="63">
        <f>K16-1</f>
        <v>29</v>
      </c>
      <c r="L17" s="56">
        <f>L$16*MIN(K$5,K$16+1-K17)*(1+K$3)^(K$16-K17)*IF(K17&lt;K$5,K17/K$5,1)</f>
        <v>837971.13540059759</v>
      </c>
      <c r="M17" s="54">
        <f>M16*1.075-O16*1.075^0.5</f>
        <v>0</v>
      </c>
      <c r="N17" s="63">
        <f>N16-1</f>
        <v>29</v>
      </c>
      <c r="O17" s="56">
        <f>O$16*MIN(N$5,N$16+1-N17)*(1+N$3)^(N$16-N17)*IF(N17&lt;N$5,N17/N$5,1)</f>
        <v>0</v>
      </c>
      <c r="P17" s="54">
        <f t="shared" ref="P17:P45" si="6">D17+G17+J17+M17</f>
        <v>267575113.96542656</v>
      </c>
      <c r="Q17" s="63">
        <f>Q16-1</f>
        <v>29</v>
      </c>
      <c r="R17" s="297">
        <f>F17+I17+L17+O17</f>
        <v>25120283.242114883</v>
      </c>
      <c r="S17" s="63"/>
      <c r="T17" s="142"/>
      <c r="U17" s="111"/>
      <c r="V17" s="73">
        <v>367205316.48542702</v>
      </c>
      <c r="W17" s="80"/>
      <c r="AF17" s="216">
        <v>500000</v>
      </c>
    </row>
    <row r="18" spans="1:32" x14ac:dyDescent="0.25">
      <c r="A18" s="49">
        <f t="shared" ref="A18:A45" si="7">A17+1</f>
        <v>3</v>
      </c>
      <c r="B18" s="49">
        <f t="shared" si="2"/>
        <v>2019</v>
      </c>
      <c r="C18" s="49">
        <f t="shared" si="0"/>
        <v>2020</v>
      </c>
      <c r="D18" s="54">
        <f t="shared" ref="D18:D32" si="8">D17*1.075-F17*1.075^0.5</f>
        <v>306697328.1038397</v>
      </c>
      <c r="E18" s="63">
        <f t="shared" ref="E18:E32" si="9">E17-1</f>
        <v>15</v>
      </c>
      <c r="F18" s="56">
        <f t="shared" si="3"/>
        <v>28114801.546637621</v>
      </c>
      <c r="G18" s="54">
        <f t="shared" si="4"/>
        <v>-77199549.541011319</v>
      </c>
      <c r="H18" s="63">
        <f t="shared" si="5"/>
        <v>27</v>
      </c>
      <c r="I18" s="56">
        <f t="shared" si="1"/>
        <v>-4138693.4356292109</v>
      </c>
      <c r="J18" s="54">
        <f t="shared" ref="J18:J45" si="10">J17*1.075-L17*1.075^0.5</f>
        <v>32100204.938550357</v>
      </c>
      <c r="K18" s="63">
        <f t="shared" ref="K18:K45" si="11">K17-1</f>
        <v>28</v>
      </c>
      <c r="L18" s="56">
        <f t="shared" ref="L18:L45" si="12">L$16*MIN(K$5,K$16+1-K18)*(1+K$3)^(K$16-K18)*IF(K18&lt;K$5,K18/K$5,1)</f>
        <v>1294665.4041939231</v>
      </c>
      <c r="M18" s="54">
        <f t="shared" ref="M18:M45" si="13">M17*1.075-O17*1.075^0.5</f>
        <v>0</v>
      </c>
      <c r="N18" s="63">
        <f t="shared" ref="N18:N45" si="14">N17-1</f>
        <v>28</v>
      </c>
      <c r="O18" s="56">
        <f t="shared" ref="O18:O45" si="15">O$16*MIN(N$5,N$16+1-N18)*(1+N$3)^(N$16-N18)*IF(N18&lt;N$5,N18/N$5,1)</f>
        <v>0</v>
      </c>
      <c r="P18" s="54">
        <f t="shared" si="6"/>
        <v>261597983.50137872</v>
      </c>
      <c r="Q18" s="63">
        <f t="shared" ref="Q18:Q45" si="16">Q17-1</f>
        <v>28</v>
      </c>
      <c r="R18" s="297">
        <f t="shared" ref="R18:R45" si="17">F18+I18+L18+O18</f>
        <v>25270773.515202332</v>
      </c>
      <c r="S18" s="63"/>
      <c r="T18" s="142"/>
      <c r="U18" s="111"/>
      <c r="V18" s="73">
        <v>366452604.42382401</v>
      </c>
      <c r="W18" s="80"/>
      <c r="AF18" s="216">
        <v>500000</v>
      </c>
    </row>
    <row r="19" spans="1:32" x14ac:dyDescent="0.25">
      <c r="A19" s="49">
        <f t="shared" si="7"/>
        <v>4</v>
      </c>
      <c r="B19" s="49">
        <f t="shared" si="2"/>
        <v>2020</v>
      </c>
      <c r="C19" s="49">
        <f t="shared" si="0"/>
        <v>2021</v>
      </c>
      <c r="D19" s="54">
        <f t="shared" si="8"/>
        <v>300549581.04001272</v>
      </c>
      <c r="E19" s="63">
        <f t="shared" si="9"/>
        <v>14</v>
      </c>
      <c r="F19" s="56">
        <f t="shared" si="3"/>
        <v>28958245.593036748</v>
      </c>
      <c r="G19" s="54">
        <f t="shared" si="4"/>
        <v>-78698427.071220785</v>
      </c>
      <c r="H19" s="63">
        <f t="shared" si="5"/>
        <v>26</v>
      </c>
      <c r="I19" s="56">
        <f t="shared" si="1"/>
        <v>-5328567.7983726095</v>
      </c>
      <c r="J19" s="54">
        <f t="shared" si="10"/>
        <v>33165382.647629153</v>
      </c>
      <c r="K19" s="63">
        <f t="shared" si="11"/>
        <v>27</v>
      </c>
      <c r="L19" s="56">
        <f t="shared" si="12"/>
        <v>1778007.1550929879</v>
      </c>
      <c r="M19" s="54">
        <f t="shared" si="13"/>
        <v>0</v>
      </c>
      <c r="N19" s="63">
        <f t="shared" si="14"/>
        <v>27</v>
      </c>
      <c r="O19" s="56">
        <f t="shared" si="15"/>
        <v>0</v>
      </c>
      <c r="P19" s="54">
        <f>D19+G19+J19+M19</f>
        <v>255016536.61642107</v>
      </c>
      <c r="Q19" s="63">
        <f t="shared" si="16"/>
        <v>27</v>
      </c>
      <c r="R19" s="297">
        <f t="shared" si="17"/>
        <v>25407684.949757125</v>
      </c>
      <c r="S19" s="63"/>
      <c r="T19" s="142"/>
      <c r="U19" s="111"/>
      <c r="V19" s="73">
        <v>364251050.24551433</v>
      </c>
      <c r="W19" s="80"/>
      <c r="AF19" s="216">
        <v>500000</v>
      </c>
    </row>
    <row r="20" spans="1:32" x14ac:dyDescent="0.25">
      <c r="A20" s="49">
        <f t="shared" si="7"/>
        <v>5</v>
      </c>
      <c r="B20" s="49">
        <f t="shared" si="2"/>
        <v>2021</v>
      </c>
      <c r="C20" s="49">
        <f t="shared" si="0"/>
        <v>2022</v>
      </c>
      <c r="D20" s="54">
        <f t="shared" si="8"/>
        <v>293066251.54625028</v>
      </c>
      <c r="E20" s="63">
        <f t="shared" si="9"/>
        <v>13</v>
      </c>
      <c r="F20" s="56">
        <f t="shared" si="3"/>
        <v>29826992.960827854</v>
      </c>
      <c r="G20" s="54">
        <f t="shared" si="4"/>
        <v>-79076032.419153124</v>
      </c>
      <c r="H20" s="63">
        <f t="shared" si="5"/>
        <v>25</v>
      </c>
      <c r="I20" s="56">
        <f t="shared" si="1"/>
        <v>-5488424.8323237868</v>
      </c>
      <c r="J20" s="54">
        <f t="shared" si="10"/>
        <v>33809309.2913322</v>
      </c>
      <c r="K20" s="63">
        <f t="shared" si="11"/>
        <v>26</v>
      </c>
      <c r="L20" s="56">
        <f t="shared" si="12"/>
        <v>2289184.2121822219</v>
      </c>
      <c r="M20" s="54">
        <f t="shared" si="13"/>
        <v>0</v>
      </c>
      <c r="N20" s="63">
        <f t="shared" si="14"/>
        <v>26</v>
      </c>
      <c r="O20" s="56">
        <f t="shared" si="15"/>
        <v>0</v>
      </c>
      <c r="P20" s="54">
        <f t="shared" si="6"/>
        <v>247799528.41842937</v>
      </c>
      <c r="Q20" s="63">
        <f t="shared" si="16"/>
        <v>26</v>
      </c>
      <c r="R20" s="297">
        <f t="shared" si="17"/>
        <v>26627752.340686291</v>
      </c>
      <c r="S20" s="63"/>
      <c r="T20" s="142"/>
      <c r="U20" s="111"/>
      <c r="V20" s="73">
        <v>360370048.57055718</v>
      </c>
      <c r="W20" s="80"/>
      <c r="AF20" s="216">
        <v>500000</v>
      </c>
    </row>
    <row r="21" spans="1:32" x14ac:dyDescent="0.25">
      <c r="A21" s="49">
        <f t="shared" si="7"/>
        <v>6</v>
      </c>
      <c r="B21" s="49">
        <f t="shared" si="2"/>
        <v>2022</v>
      </c>
      <c r="C21" s="49">
        <f t="shared" si="0"/>
        <v>2023</v>
      </c>
      <c r="D21" s="54">
        <f t="shared" si="8"/>
        <v>284120935.89830279</v>
      </c>
      <c r="E21" s="63">
        <f t="shared" si="9"/>
        <v>12</v>
      </c>
      <c r="F21" s="56">
        <f t="shared" si="3"/>
        <v>30721802.74965268</v>
      </c>
      <c r="G21" s="54">
        <f t="shared" si="4"/>
        <v>-79316214.867708117</v>
      </c>
      <c r="H21" s="63">
        <f t="shared" si="5"/>
        <v>24</v>
      </c>
      <c r="I21" s="56">
        <f t="shared" si="1"/>
        <v>-5653077.5772935012</v>
      </c>
      <c r="J21" s="54">
        <f t="shared" si="10"/>
        <v>33971530.780038096</v>
      </c>
      <c r="K21" s="63">
        <f t="shared" si="11"/>
        <v>25</v>
      </c>
      <c r="L21" s="56">
        <f t="shared" si="12"/>
        <v>2357859.7385476884</v>
      </c>
      <c r="M21" s="54">
        <f t="shared" si="13"/>
        <v>0</v>
      </c>
      <c r="N21" s="63">
        <f t="shared" si="14"/>
        <v>25</v>
      </c>
      <c r="O21" s="56">
        <f t="shared" si="15"/>
        <v>0</v>
      </c>
      <c r="P21" s="54">
        <f t="shared" si="6"/>
        <v>238776251.81063277</v>
      </c>
      <c r="Q21" s="63">
        <f t="shared" si="16"/>
        <v>25</v>
      </c>
      <c r="R21" s="297">
        <f t="shared" si="17"/>
        <v>27426584.910906866</v>
      </c>
      <c r="S21" s="63"/>
      <c r="T21" s="142"/>
      <c r="U21" s="111"/>
      <c r="V21" s="73">
        <v>353047054.75703007</v>
      </c>
      <c r="W21" s="80"/>
      <c r="AF21" s="216">
        <v>500000</v>
      </c>
    </row>
    <row r="22" spans="1:32" x14ac:dyDescent="0.25">
      <c r="A22" s="49">
        <f t="shared" si="7"/>
        <v>7</v>
      </c>
      <c r="B22" s="49">
        <f t="shared" si="2"/>
        <v>2023</v>
      </c>
      <c r="C22" s="49">
        <f t="shared" si="0"/>
        <v>2024</v>
      </c>
      <c r="D22" s="54">
        <f t="shared" si="8"/>
        <v>273576963.04134172</v>
      </c>
      <c r="E22" s="63">
        <f t="shared" si="9"/>
        <v>11</v>
      </c>
      <c r="F22" s="56">
        <f t="shared" si="3"/>
        <v>31643456.83214226</v>
      </c>
      <c r="G22" s="54">
        <f>G21*1.075-I21*1.075^0.5</f>
        <v>-79403695.400418296</v>
      </c>
      <c r="H22" s="63">
        <f t="shared" si="5"/>
        <v>23</v>
      </c>
      <c r="I22" s="56">
        <f t="shared" si="1"/>
        <v>-5822669.9046123065</v>
      </c>
      <c r="J22" s="54">
        <f t="shared" si="10"/>
        <v>34074714.579152614</v>
      </c>
      <c r="K22" s="63">
        <f t="shared" si="11"/>
        <v>24</v>
      </c>
      <c r="L22" s="56">
        <f t="shared" si="12"/>
        <v>2428595.5307041192</v>
      </c>
      <c r="M22" s="54">
        <f t="shared" si="13"/>
        <v>0</v>
      </c>
      <c r="N22" s="63">
        <f t="shared" si="14"/>
        <v>24</v>
      </c>
      <c r="O22" s="56">
        <f t="shared" si="15"/>
        <v>0</v>
      </c>
      <c r="P22" s="54">
        <f t="shared" si="6"/>
        <v>228247982.22007605</v>
      </c>
      <c r="Q22" s="63">
        <f t="shared" si="16"/>
        <v>24</v>
      </c>
      <c r="R22" s="297">
        <f t="shared" si="17"/>
        <v>28249382.458234072</v>
      </c>
      <c r="S22" s="63"/>
      <c r="T22" s="142"/>
      <c r="U22" s="111"/>
      <c r="V22" s="73">
        <v>342337135.70698458</v>
      </c>
      <c r="W22" s="80"/>
      <c r="AF22" s="216">
        <v>500000</v>
      </c>
    </row>
    <row r="23" spans="1:32" x14ac:dyDescent="0.25">
      <c r="A23" s="49">
        <f t="shared" si="7"/>
        <v>8</v>
      </c>
      <c r="B23" s="49">
        <f t="shared" si="2"/>
        <v>2024</v>
      </c>
      <c r="C23" s="49">
        <f t="shared" si="0"/>
        <v>2025</v>
      </c>
      <c r="D23" s="54">
        <f t="shared" si="8"/>
        <v>261286600.92862856</v>
      </c>
      <c r="E23" s="63">
        <f t="shared" si="9"/>
        <v>10</v>
      </c>
      <c r="F23" s="56">
        <f t="shared" si="3"/>
        <v>32592760.537106529</v>
      </c>
      <c r="G23" s="54">
        <f t="shared" si="4"/>
        <v>-79321899.905610695</v>
      </c>
      <c r="H23" s="63">
        <f t="shared" si="5"/>
        <v>22</v>
      </c>
      <c r="I23" s="56">
        <f t="shared" si="1"/>
        <v>-5997350.001750675</v>
      </c>
      <c r="J23" s="54">
        <f t="shared" si="10"/>
        <v>34112296.732919067</v>
      </c>
      <c r="K23" s="63">
        <f t="shared" si="11"/>
        <v>23</v>
      </c>
      <c r="L23" s="56">
        <f t="shared" si="12"/>
        <v>2501453.3966252427</v>
      </c>
      <c r="M23" s="54">
        <f t="shared" si="13"/>
        <v>0</v>
      </c>
      <c r="N23" s="63">
        <f t="shared" si="14"/>
        <v>23</v>
      </c>
      <c r="O23" s="56">
        <f t="shared" si="15"/>
        <v>0</v>
      </c>
      <c r="P23" s="54">
        <f t="shared" si="6"/>
        <v>216076997.75593695</v>
      </c>
      <c r="Q23" s="63">
        <f t="shared" si="16"/>
        <v>23</v>
      </c>
      <c r="R23" s="297">
        <f t="shared" si="17"/>
        <v>29096863.931981098</v>
      </c>
      <c r="S23" s="63"/>
      <c r="T23" s="142"/>
      <c r="U23" s="111"/>
      <c r="V23" s="73">
        <v>328888742.35388076</v>
      </c>
      <c r="W23" s="80"/>
      <c r="AF23" s="216">
        <v>500000</v>
      </c>
    </row>
    <row r="24" spans="1:32" x14ac:dyDescent="0.25">
      <c r="A24" s="49">
        <f t="shared" si="7"/>
        <v>9</v>
      </c>
      <c r="B24" s="49">
        <f t="shared" si="2"/>
        <v>2025</v>
      </c>
      <c r="C24" s="49">
        <f t="shared" si="0"/>
        <v>2026</v>
      </c>
      <c r="D24" s="54">
        <f t="shared" si="8"/>
        <v>247090202.62723753</v>
      </c>
      <c r="E24" s="63">
        <f t="shared" si="9"/>
        <v>9</v>
      </c>
      <c r="F24" s="56">
        <f t="shared" si="3"/>
        <v>33570543.353219725</v>
      </c>
      <c r="G24" s="54">
        <f t="shared" si="4"/>
        <v>-79052857.569197357</v>
      </c>
      <c r="H24" s="63">
        <f t="shared" si="5"/>
        <v>21</v>
      </c>
      <c r="I24" s="56">
        <f t="shared" si="1"/>
        <v>-6177270.5018031951</v>
      </c>
      <c r="J24" s="54">
        <f t="shared" si="10"/>
        <v>34077156.905027904</v>
      </c>
      <c r="K24" s="63">
        <f t="shared" si="11"/>
        <v>22</v>
      </c>
      <c r="L24" s="56">
        <f t="shared" si="12"/>
        <v>2576496.9985239999</v>
      </c>
      <c r="M24" s="54">
        <f t="shared" si="13"/>
        <v>0</v>
      </c>
      <c r="N24" s="63">
        <f t="shared" si="14"/>
        <v>22</v>
      </c>
      <c r="O24" s="56">
        <f t="shared" si="15"/>
        <v>0</v>
      </c>
      <c r="P24" s="54">
        <f t="shared" si="6"/>
        <v>202114501.96306807</v>
      </c>
      <c r="Q24" s="63">
        <f t="shared" si="16"/>
        <v>22</v>
      </c>
      <c r="R24" s="297">
        <f t="shared" si="17"/>
        <v>29969769.849940527</v>
      </c>
      <c r="S24" s="63"/>
      <c r="T24" s="142"/>
      <c r="U24" s="111"/>
      <c r="V24" s="73">
        <v>312725534.51631033</v>
      </c>
      <c r="W24" s="80"/>
      <c r="AF24" s="216">
        <v>500000</v>
      </c>
    </row>
    <row r="25" spans="1:32" x14ac:dyDescent="0.25">
      <c r="A25" s="49">
        <f t="shared" si="7"/>
        <v>10</v>
      </c>
      <c r="B25" s="49">
        <f t="shared" si="2"/>
        <v>2026</v>
      </c>
      <c r="C25" s="49">
        <f t="shared" si="0"/>
        <v>2027</v>
      </c>
      <c r="D25" s="54">
        <f t="shared" si="8"/>
        <v>230815287.65211099</v>
      </c>
      <c r="E25" s="63">
        <f t="shared" si="9"/>
        <v>8</v>
      </c>
      <c r="F25" s="56">
        <f t="shared" si="3"/>
        <v>34577659.65381632</v>
      </c>
      <c r="G25" s="54">
        <f t="shared" si="4"/>
        <v>-78577091.512672991</v>
      </c>
      <c r="H25" s="63">
        <f t="shared" si="5"/>
        <v>20</v>
      </c>
      <c r="I25" s="56">
        <f t="shared" si="1"/>
        <v>-6362588.6168572912</v>
      </c>
      <c r="J25" s="54">
        <f t="shared" si="10"/>
        <v>33961574.727559105</v>
      </c>
      <c r="K25" s="63">
        <f t="shared" si="11"/>
        <v>21</v>
      </c>
      <c r="L25" s="56">
        <f t="shared" si="12"/>
        <v>2653791.9084797199</v>
      </c>
      <c r="M25" s="54">
        <f t="shared" si="13"/>
        <v>0</v>
      </c>
      <c r="N25" s="63">
        <f t="shared" si="14"/>
        <v>21</v>
      </c>
      <c r="O25" s="56">
        <f t="shared" si="15"/>
        <v>0</v>
      </c>
      <c r="P25" s="54">
        <f t="shared" si="6"/>
        <v>186199770.86699712</v>
      </c>
      <c r="Q25" s="63">
        <f t="shared" si="16"/>
        <v>21</v>
      </c>
      <c r="R25" s="297">
        <f t="shared" si="17"/>
        <v>30868862.94543875</v>
      </c>
      <c r="S25" s="63"/>
      <c r="T25" s="142"/>
      <c r="U25" s="111"/>
      <c r="V25" s="73">
        <v>294255339.53603971</v>
      </c>
      <c r="W25" s="80"/>
      <c r="AF25" s="216">
        <v>500000</v>
      </c>
    </row>
    <row r="26" spans="1:32" x14ac:dyDescent="0.25">
      <c r="A26" s="49">
        <f t="shared" si="7"/>
        <v>11</v>
      </c>
      <c r="B26" s="49">
        <f t="shared" si="2"/>
        <v>2027</v>
      </c>
      <c r="C26" s="49">
        <f t="shared" si="0"/>
        <v>2028</v>
      </c>
      <c r="D26" s="54">
        <f t="shared" si="8"/>
        <v>212275553.64868492</v>
      </c>
      <c r="E26" s="63">
        <f t="shared" si="9"/>
        <v>7</v>
      </c>
      <c r="F26" s="56">
        <f t="shared" si="3"/>
        <v>35614989.443430804</v>
      </c>
      <c r="G26" s="54">
        <f t="shared" si="4"/>
        <v>-77873501.090682864</v>
      </c>
      <c r="H26" s="63">
        <f t="shared" si="5"/>
        <v>19</v>
      </c>
      <c r="I26" s="56">
        <f t="shared" si="1"/>
        <v>-6553466.2753630104</v>
      </c>
      <c r="J26" s="54">
        <f t="shared" si="10"/>
        <v>33757182.818419769</v>
      </c>
      <c r="K26" s="63">
        <f t="shared" si="11"/>
        <v>20</v>
      </c>
      <c r="L26" s="56">
        <f t="shared" si="12"/>
        <v>2733405.6657341113</v>
      </c>
      <c r="M26" s="54">
        <f t="shared" si="13"/>
        <v>0</v>
      </c>
      <c r="N26" s="63">
        <f t="shared" si="14"/>
        <v>20</v>
      </c>
      <c r="O26" s="56">
        <f t="shared" si="15"/>
        <v>0</v>
      </c>
      <c r="P26" s="54">
        <f t="shared" si="6"/>
        <v>168159235.37642181</v>
      </c>
      <c r="Q26" s="63">
        <f t="shared" si="16"/>
        <v>20</v>
      </c>
      <c r="R26" s="297">
        <f t="shared" si="17"/>
        <v>31794928.833801907</v>
      </c>
      <c r="S26" s="63"/>
      <c r="T26" s="142"/>
      <c r="U26" s="111"/>
      <c r="V26" s="73">
        <v>273281401.43525779</v>
      </c>
      <c r="W26" s="80"/>
      <c r="AF26" s="216">
        <v>500000</v>
      </c>
    </row>
    <row r="27" spans="1:32" x14ac:dyDescent="0.25">
      <c r="A27" s="49">
        <f t="shared" si="7"/>
        <v>12</v>
      </c>
      <c r="B27" s="49">
        <f t="shared" si="2"/>
        <v>2028</v>
      </c>
      <c r="C27" s="49">
        <f t="shared" si="0"/>
        <v>2029</v>
      </c>
      <c r="D27" s="54">
        <f t="shared" si="8"/>
        <v>191269813.17768186</v>
      </c>
      <c r="E27" s="63">
        <f t="shared" si="9"/>
        <v>6</v>
      </c>
      <c r="F27" s="56">
        <f t="shared" si="3"/>
        <v>36683439.126733735</v>
      </c>
      <c r="G27" s="54">
        <f t="shared" si="4"/>
        <v>-76919235.218480259</v>
      </c>
      <c r="H27" s="63">
        <f t="shared" si="5"/>
        <v>18</v>
      </c>
      <c r="I27" s="56">
        <f t="shared" si="1"/>
        <v>-6750070.2636238998</v>
      </c>
      <c r="J27" s="54">
        <f t="shared" si="10"/>
        <v>33454916.215683796</v>
      </c>
      <c r="K27" s="63">
        <f t="shared" si="11"/>
        <v>19</v>
      </c>
      <c r="L27" s="56">
        <f t="shared" si="12"/>
        <v>2815407.8357061348</v>
      </c>
      <c r="M27" s="54">
        <f t="shared" si="13"/>
        <v>0</v>
      </c>
      <c r="N27" s="63">
        <f t="shared" si="14"/>
        <v>19</v>
      </c>
      <c r="O27" s="56">
        <f t="shared" si="15"/>
        <v>0</v>
      </c>
      <c r="P27" s="54">
        <f t="shared" si="6"/>
        <v>147805494.17488539</v>
      </c>
      <c r="Q27" s="63">
        <f t="shared" si="16"/>
        <v>19</v>
      </c>
      <c r="R27" s="297">
        <f t="shared" si="17"/>
        <v>32748776.698815968</v>
      </c>
      <c r="S27" s="63"/>
      <c r="T27" s="142"/>
      <c r="U27" s="111"/>
      <c r="V27" s="73">
        <v>249592133.31137201</v>
      </c>
      <c r="W27" s="80"/>
      <c r="AF27" s="216">
        <v>500000</v>
      </c>
    </row>
    <row r="28" spans="1:32" s="50" customFormat="1" x14ac:dyDescent="0.25">
      <c r="A28" s="49">
        <f t="shared" si="7"/>
        <v>13</v>
      </c>
      <c r="B28" s="49">
        <f t="shared" si="2"/>
        <v>2029</v>
      </c>
      <c r="C28" s="49">
        <f t="shared" si="0"/>
        <v>2030</v>
      </c>
      <c r="D28" s="54">
        <f t="shared" si="8"/>
        <v>167580849.96151394</v>
      </c>
      <c r="E28" s="63">
        <f t="shared" si="9"/>
        <v>5</v>
      </c>
      <c r="F28" s="56">
        <f t="shared" si="3"/>
        <v>37783942.300535761</v>
      </c>
      <c r="G28" s="54">
        <f t="shared" si="4"/>
        <v>-75689556.052242354</v>
      </c>
      <c r="H28" s="63">
        <f t="shared" si="5"/>
        <v>17</v>
      </c>
      <c r="I28" s="56">
        <f t="shared" si="1"/>
        <v>-6952572.3715326162</v>
      </c>
      <c r="J28" s="54">
        <f t="shared" si="10"/>
        <v>33044957.958319101</v>
      </c>
      <c r="K28" s="63">
        <f t="shared" si="11"/>
        <v>18</v>
      </c>
      <c r="L28" s="56">
        <f t="shared" si="12"/>
        <v>2899870.0707773184</v>
      </c>
      <c r="M28" s="54">
        <f t="shared" si="13"/>
        <v>0</v>
      </c>
      <c r="N28" s="63">
        <f t="shared" si="14"/>
        <v>18</v>
      </c>
      <c r="O28" s="56">
        <f t="shared" si="15"/>
        <v>0</v>
      </c>
      <c r="P28" s="54">
        <f t="shared" si="6"/>
        <v>124936251.86759068</v>
      </c>
      <c r="Q28" s="63">
        <f t="shared" si="16"/>
        <v>18</v>
      </c>
      <c r="R28" s="297">
        <f t="shared" si="17"/>
        <v>33731239.999780461</v>
      </c>
      <c r="S28" s="63"/>
      <c r="T28" s="142"/>
      <c r="U28" s="111"/>
      <c r="V28" s="73">
        <v>222960047.43208358</v>
      </c>
      <c r="W28" s="80"/>
      <c r="AF28" s="216">
        <v>500000</v>
      </c>
    </row>
    <row r="29" spans="1:32" s="50" customFormat="1" x14ac:dyDescent="0.25">
      <c r="A29" s="49">
        <f t="shared" si="7"/>
        <v>14</v>
      </c>
      <c r="B29" s="49">
        <f t="shared" si="2"/>
        <v>2030</v>
      </c>
      <c r="C29" s="49">
        <f t="shared" si="0"/>
        <v>2031</v>
      </c>
      <c r="D29" s="54">
        <f t="shared" si="8"/>
        <v>140974188.52799857</v>
      </c>
      <c r="E29" s="63">
        <f t="shared" si="9"/>
        <v>4</v>
      </c>
      <c r="F29" s="56">
        <f t="shared" si="3"/>
        <v>38917460.569551833</v>
      </c>
      <c r="G29" s="54">
        <f t="shared" si="4"/>
        <v>-74157692.294307888</v>
      </c>
      <c r="H29" s="63">
        <f t="shared" si="5"/>
        <v>16</v>
      </c>
      <c r="I29" s="56">
        <f t="shared" si="1"/>
        <v>-7161149.5426785955</v>
      </c>
      <c r="J29" s="54">
        <f t="shared" si="10"/>
        <v>32516680.52244582</v>
      </c>
      <c r="K29" s="63">
        <f t="shared" si="11"/>
        <v>17</v>
      </c>
      <c r="L29" s="56">
        <f t="shared" si="12"/>
        <v>2986866.1729006381</v>
      </c>
      <c r="M29" s="54">
        <f t="shared" si="13"/>
        <v>0</v>
      </c>
      <c r="N29" s="63">
        <f t="shared" si="14"/>
        <v>17</v>
      </c>
      <c r="O29" s="56">
        <f t="shared" si="15"/>
        <v>0</v>
      </c>
      <c r="P29" s="54">
        <f t="shared" si="6"/>
        <v>99333176.756136507</v>
      </c>
      <c r="Q29" s="63">
        <f t="shared" si="16"/>
        <v>17</v>
      </c>
      <c r="R29" s="297">
        <f t="shared" si="17"/>
        <v>34743177.199773878</v>
      </c>
      <c r="S29" s="63"/>
      <c r="T29" s="142"/>
      <c r="U29" s="111"/>
      <c r="V29" s="73">
        <v>193140609.48491237</v>
      </c>
      <c r="W29" s="80"/>
      <c r="AF29" s="216">
        <v>500000</v>
      </c>
    </row>
    <row r="30" spans="1:32" s="50" customFormat="1" x14ac:dyDescent="0.25">
      <c r="A30" s="49">
        <f t="shared" si="7"/>
        <v>15</v>
      </c>
      <c r="B30" s="49">
        <f t="shared" si="2"/>
        <v>2031</v>
      </c>
      <c r="C30" s="49">
        <f t="shared" si="0"/>
        <v>2032</v>
      </c>
      <c r="D30" s="54">
        <f t="shared" si="8"/>
        <v>111196770.73155068</v>
      </c>
      <c r="E30" s="63">
        <f t="shared" si="9"/>
        <v>3</v>
      </c>
      <c r="F30" s="56">
        <f t="shared" si="3"/>
        <v>40084984.386638395</v>
      </c>
      <c r="G30" s="54">
        <f t="shared" si="4"/>
        <v>-72294681.340672746</v>
      </c>
      <c r="H30" s="63">
        <f t="shared" si="5"/>
        <v>15</v>
      </c>
      <c r="I30" s="56">
        <f t="shared" si="1"/>
        <v>-7375984.0289589539</v>
      </c>
      <c r="J30" s="54">
        <f t="shared" si="10"/>
        <v>31858582.800399635</v>
      </c>
      <c r="K30" s="63">
        <f t="shared" si="11"/>
        <v>16</v>
      </c>
      <c r="L30" s="56">
        <f t="shared" si="12"/>
        <v>3076472.1580876573</v>
      </c>
      <c r="M30" s="54">
        <f t="shared" si="13"/>
        <v>0</v>
      </c>
      <c r="N30" s="63">
        <f t="shared" si="14"/>
        <v>16</v>
      </c>
      <c r="O30" s="56">
        <f t="shared" si="15"/>
        <v>0</v>
      </c>
      <c r="P30" s="54">
        <f t="shared" si="6"/>
        <v>70760672.191277564</v>
      </c>
      <c r="Q30" s="63">
        <f t="shared" si="16"/>
        <v>16</v>
      </c>
      <c r="R30" s="297">
        <f t="shared" si="17"/>
        <v>35785472.515767097</v>
      </c>
      <c r="S30" s="63"/>
      <c r="T30" s="142"/>
      <c r="U30" s="111"/>
      <c r="V30" s="73">
        <v>159871011.6434167</v>
      </c>
      <c r="W30" s="80"/>
      <c r="AF30" s="216">
        <v>500000</v>
      </c>
    </row>
    <row r="31" spans="1:32" s="50" customFormat="1" x14ac:dyDescent="0.25">
      <c r="A31" s="49">
        <f t="shared" si="7"/>
        <v>16</v>
      </c>
      <c r="B31" s="49">
        <f t="shared" si="2"/>
        <v>2032</v>
      </c>
      <c r="C31" s="49">
        <f t="shared" si="0"/>
        <v>2033</v>
      </c>
      <c r="D31" s="54">
        <f t="shared" si="8"/>
        <v>77975532.142287761</v>
      </c>
      <c r="E31" s="63">
        <f t="shared" si="9"/>
        <v>2</v>
      </c>
      <c r="F31" s="56">
        <f t="shared" si="3"/>
        <v>41287533.918237552</v>
      </c>
      <c r="G31" s="54">
        <f t="shared" si="4"/>
        <v>-70069199.429243743</v>
      </c>
      <c r="H31" s="63">
        <f t="shared" si="5"/>
        <v>14</v>
      </c>
      <c r="I31" s="56">
        <f t="shared" si="1"/>
        <v>-7597263.549827721</v>
      </c>
      <c r="J31" s="54">
        <f t="shared" si="10"/>
        <v>31058222.286363091</v>
      </c>
      <c r="K31" s="63">
        <f t="shared" si="11"/>
        <v>15</v>
      </c>
      <c r="L31" s="56">
        <f t="shared" si="12"/>
        <v>3168766.3228302873</v>
      </c>
      <c r="M31" s="54">
        <f t="shared" si="13"/>
        <v>0</v>
      </c>
      <c r="N31" s="63">
        <f t="shared" si="14"/>
        <v>15</v>
      </c>
      <c r="O31" s="56">
        <f t="shared" si="15"/>
        <v>0</v>
      </c>
      <c r="P31" s="54">
        <f t="shared" si="6"/>
        <v>38964554.999407113</v>
      </c>
      <c r="Q31" s="63">
        <f t="shared" si="16"/>
        <v>15</v>
      </c>
      <c r="R31" s="297">
        <f t="shared" si="17"/>
        <v>36859036.691240117</v>
      </c>
      <c r="S31" s="63"/>
      <c r="T31" s="142"/>
      <c r="U31" s="111"/>
      <c r="V31" s="73">
        <v>122868858.73785317</v>
      </c>
      <c r="W31" s="80"/>
      <c r="AF31" s="216">
        <v>500000</v>
      </c>
    </row>
    <row r="32" spans="1:32" s="50" customFormat="1" x14ac:dyDescent="0.25">
      <c r="A32" s="49">
        <f t="shared" si="7"/>
        <v>17</v>
      </c>
      <c r="B32" s="49">
        <f t="shared" si="2"/>
        <v>2033</v>
      </c>
      <c r="C32" s="49">
        <f t="shared" si="0"/>
        <v>2034</v>
      </c>
      <c r="D32" s="54">
        <f t="shared" si="8"/>
        <v>41015870.767006241</v>
      </c>
      <c r="E32" s="63">
        <f t="shared" si="9"/>
        <v>1</v>
      </c>
      <c r="F32" s="56">
        <f t="shared" si="3"/>
        <v>42526159.935784683</v>
      </c>
      <c r="G32" s="54">
        <f t="shared" si="4"/>
        <v>-67447378.884098172</v>
      </c>
      <c r="H32" s="63">
        <f t="shared" si="5"/>
        <v>13</v>
      </c>
      <c r="I32" s="56">
        <f t="shared" si="1"/>
        <v>-7825181.4563225526</v>
      </c>
      <c r="J32" s="54">
        <f t="shared" si="10"/>
        <v>30102142.107051816</v>
      </c>
      <c r="K32" s="63">
        <f t="shared" si="11"/>
        <v>14</v>
      </c>
      <c r="L32" s="56">
        <f t="shared" si="12"/>
        <v>3263829.3125151955</v>
      </c>
      <c r="M32" s="54">
        <f t="shared" si="13"/>
        <v>0</v>
      </c>
      <c r="N32" s="63">
        <f t="shared" si="14"/>
        <v>14</v>
      </c>
      <c r="O32" s="56">
        <f t="shared" si="15"/>
        <v>0</v>
      </c>
      <c r="P32" s="54">
        <f t="shared" si="6"/>
        <v>3670633.9899598844</v>
      </c>
      <c r="Q32" s="63">
        <f t="shared" si="16"/>
        <v>14</v>
      </c>
      <c r="R32" s="297">
        <f t="shared" si="17"/>
        <v>37964807.791977331</v>
      </c>
      <c r="S32" s="63"/>
      <c r="T32" s="142"/>
      <c r="U32" s="111"/>
      <c r="V32" s="73">
        <v>81830761.417282075</v>
      </c>
      <c r="W32" s="80"/>
      <c r="AF32" s="216">
        <v>500000</v>
      </c>
    </row>
    <row r="33" spans="1:32" s="50" customFormat="1" x14ac:dyDescent="0.25">
      <c r="A33" s="49">
        <f t="shared" si="7"/>
        <v>18</v>
      </c>
      <c r="B33" s="49">
        <f t="shared" si="2"/>
        <v>2034</v>
      </c>
      <c r="C33" s="49">
        <f t="shared" si="0"/>
        <v>2035</v>
      </c>
      <c r="D33" s="54"/>
      <c r="E33" s="63"/>
      <c r="F33" s="56"/>
      <c r="G33" s="54">
        <f t="shared" si="4"/>
        <v>-64392611.482996523</v>
      </c>
      <c r="H33" s="63">
        <f t="shared" si="5"/>
        <v>12</v>
      </c>
      <c r="I33" s="56">
        <f t="shared" si="1"/>
        <v>-8059936.9000122296</v>
      </c>
      <c r="J33" s="54">
        <f t="shared" si="10"/>
        <v>28975792.508768536</v>
      </c>
      <c r="K33" s="63">
        <f t="shared" si="11"/>
        <v>13</v>
      </c>
      <c r="L33" s="56">
        <f t="shared" si="12"/>
        <v>3361744.1918906514</v>
      </c>
      <c r="M33" s="54">
        <f t="shared" si="13"/>
        <v>0</v>
      </c>
      <c r="N33" s="63">
        <f t="shared" si="14"/>
        <v>13</v>
      </c>
      <c r="O33" s="56">
        <f t="shared" si="15"/>
        <v>0</v>
      </c>
      <c r="P33" s="54">
        <f t="shared" si="6"/>
        <v>-35416818.974227987</v>
      </c>
      <c r="Q33" s="63">
        <f t="shared" si="16"/>
        <v>13</v>
      </c>
      <c r="R33" s="297">
        <f t="shared" si="17"/>
        <v>-4698192.7081215782</v>
      </c>
      <c r="S33" s="63"/>
      <c r="T33" s="142"/>
      <c r="U33" s="111"/>
      <c r="V33" s="73">
        <v>36430829.761304393</v>
      </c>
      <c r="W33" s="80"/>
      <c r="AF33" s="216">
        <v>500000</v>
      </c>
    </row>
    <row r="34" spans="1:32" s="50" customFormat="1" x14ac:dyDescent="0.25">
      <c r="A34" s="49">
        <f t="shared" si="7"/>
        <v>19</v>
      </c>
      <c r="B34" s="49">
        <f t="shared" si="2"/>
        <v>2035</v>
      </c>
      <c r="C34" s="49">
        <f t="shared" si="0"/>
        <v>2036</v>
      </c>
      <c r="D34" s="54"/>
      <c r="E34" s="63"/>
      <c r="F34" s="56"/>
      <c r="G34" s="54">
        <f t="shared" si="4"/>
        <v>-60865336.902289987</v>
      </c>
      <c r="H34" s="63">
        <f t="shared" si="5"/>
        <v>11</v>
      </c>
      <c r="I34" s="56">
        <f t="shared" si="1"/>
        <v>-8301735.0070125964</v>
      </c>
      <c r="J34" s="54">
        <f t="shared" si="10"/>
        <v>27663446.382924646</v>
      </c>
      <c r="K34" s="63">
        <f t="shared" si="11"/>
        <v>12</v>
      </c>
      <c r="L34" s="56">
        <f t="shared" si="12"/>
        <v>3462596.5176473707</v>
      </c>
      <c r="M34" s="54">
        <f t="shared" si="13"/>
        <v>0</v>
      </c>
      <c r="N34" s="63">
        <f t="shared" si="14"/>
        <v>12</v>
      </c>
      <c r="O34" s="56">
        <f t="shared" si="15"/>
        <v>0</v>
      </c>
      <c r="P34" s="54">
        <f t="shared" si="6"/>
        <v>-33201890.51936534</v>
      </c>
      <c r="Q34" s="63">
        <f t="shared" si="16"/>
        <v>12</v>
      </c>
      <c r="R34" s="297">
        <f t="shared" si="17"/>
        <v>-4839138.4893652257</v>
      </c>
      <c r="S34" s="63"/>
      <c r="T34" s="142"/>
      <c r="U34" s="111"/>
      <c r="V34" s="73">
        <v>30451388.735848606</v>
      </c>
      <c r="W34" s="80"/>
      <c r="AF34" s="216">
        <v>500000</v>
      </c>
    </row>
    <row r="35" spans="1:32" s="50" customFormat="1" x14ac:dyDescent="0.25">
      <c r="A35" s="49">
        <f t="shared" si="7"/>
        <v>20</v>
      </c>
      <c r="B35" s="49">
        <f t="shared" si="2"/>
        <v>2036</v>
      </c>
      <c r="C35" s="49">
        <f t="shared" si="0"/>
        <v>2037</v>
      </c>
      <c r="D35" s="54"/>
      <c r="E35" s="63"/>
      <c r="F35" s="56"/>
      <c r="G35" s="54">
        <f t="shared" si="4"/>
        <v>-56822815.114772514</v>
      </c>
      <c r="H35" s="63">
        <f t="shared" si="5"/>
        <v>10</v>
      </c>
      <c r="I35" s="56">
        <f t="shared" si="1"/>
        <v>-8550787.0572229736</v>
      </c>
      <c r="J35" s="54">
        <f t="shared" si="10"/>
        <v>26148108.380722418</v>
      </c>
      <c r="K35" s="63">
        <f t="shared" si="11"/>
        <v>11</v>
      </c>
      <c r="L35" s="56">
        <f t="shared" si="12"/>
        <v>3566474.4131767917</v>
      </c>
      <c r="M35" s="54">
        <f t="shared" si="13"/>
        <v>0</v>
      </c>
      <c r="N35" s="63">
        <f t="shared" si="14"/>
        <v>11</v>
      </c>
      <c r="O35" s="56">
        <f t="shared" si="15"/>
        <v>0</v>
      </c>
      <c r="P35" s="54">
        <f t="shared" si="6"/>
        <v>-30674706.734050095</v>
      </c>
      <c r="Q35" s="63">
        <f t="shared" si="16"/>
        <v>11</v>
      </c>
      <c r="R35" s="297">
        <f t="shared" si="17"/>
        <v>-4984312.6440461818</v>
      </c>
      <c r="S35" s="63"/>
      <c r="T35" s="142"/>
      <c r="U35" s="111"/>
      <c r="V35" s="73">
        <v>24648247.004398748</v>
      </c>
      <c r="W35" s="80"/>
      <c r="AF35" s="216">
        <v>500000</v>
      </c>
    </row>
    <row r="36" spans="1:32" s="50" customFormat="1" x14ac:dyDescent="0.25">
      <c r="A36" s="49">
        <f t="shared" si="7"/>
        <v>21</v>
      </c>
      <c r="B36" s="49">
        <f t="shared" si="2"/>
        <v>2037</v>
      </c>
      <c r="C36" s="49">
        <f t="shared" si="0"/>
        <v>2038</v>
      </c>
      <c r="D36" s="54"/>
      <c r="E36" s="63"/>
      <c r="F36" s="56"/>
      <c r="G36" s="54">
        <f t="shared" si="4"/>
        <v>-52218881.531535558</v>
      </c>
      <c r="H36" s="63">
        <f t="shared" si="5"/>
        <v>9</v>
      </c>
      <c r="I36" s="56">
        <f t="shared" si="1"/>
        <v>-8807310.6689396612</v>
      </c>
      <c r="J36" s="54">
        <f t="shared" si="10"/>
        <v>24411417.133927375</v>
      </c>
      <c r="K36" s="63">
        <f t="shared" si="11"/>
        <v>10</v>
      </c>
      <c r="L36" s="56">
        <f t="shared" si="12"/>
        <v>3673468.6455720956</v>
      </c>
      <c r="M36" s="54">
        <f t="shared" si="13"/>
        <v>0</v>
      </c>
      <c r="N36" s="63">
        <f t="shared" si="14"/>
        <v>10</v>
      </c>
      <c r="O36" s="56">
        <f t="shared" si="15"/>
        <v>0</v>
      </c>
      <c r="P36" s="54">
        <f t="shared" si="6"/>
        <v>-27807464.397608183</v>
      </c>
      <c r="Q36" s="63">
        <f t="shared" si="16"/>
        <v>10</v>
      </c>
      <c r="R36" s="297">
        <f t="shared" si="17"/>
        <v>-5133842.0233675651</v>
      </c>
      <c r="S36" s="63"/>
      <c r="T36" s="142"/>
      <c r="U36" s="111"/>
      <c r="V36" s="73">
        <v>20005379.864066087</v>
      </c>
      <c r="W36" s="80"/>
      <c r="AF36" s="216">
        <v>500000</v>
      </c>
    </row>
    <row r="37" spans="1:32" s="50" customFormat="1" x14ac:dyDescent="0.25">
      <c r="A37" s="49">
        <f t="shared" si="7"/>
        <v>22</v>
      </c>
      <c r="B37" s="49">
        <f t="shared" si="2"/>
        <v>2038</v>
      </c>
      <c r="C37" s="49">
        <f t="shared" si="0"/>
        <v>2039</v>
      </c>
      <c r="D37" s="54"/>
      <c r="E37" s="63"/>
      <c r="F37" s="56"/>
      <c r="G37" s="54">
        <f t="shared" si="4"/>
        <v>-47003683.588050477</v>
      </c>
      <c r="H37" s="63">
        <f t="shared" si="5"/>
        <v>8</v>
      </c>
      <c r="I37" s="56">
        <f t="shared" si="1"/>
        <v>-9071529.989007853</v>
      </c>
      <c r="J37" s="54">
        <f t="shared" si="10"/>
        <v>22433540.062362228</v>
      </c>
      <c r="K37" s="63">
        <f t="shared" si="11"/>
        <v>9</v>
      </c>
      <c r="L37" s="56">
        <f t="shared" si="12"/>
        <v>3783672.7049392578</v>
      </c>
      <c r="M37" s="54">
        <f t="shared" si="13"/>
        <v>0</v>
      </c>
      <c r="N37" s="63">
        <f t="shared" si="14"/>
        <v>9</v>
      </c>
      <c r="O37" s="56">
        <f t="shared" si="15"/>
        <v>0</v>
      </c>
      <c r="P37" s="54">
        <f t="shared" si="6"/>
        <v>-24570143.52568825</v>
      </c>
      <c r="Q37" s="63">
        <f t="shared" si="16"/>
        <v>9</v>
      </c>
      <c r="R37" s="297">
        <f t="shared" si="17"/>
        <v>-5287857.2840685956</v>
      </c>
      <c r="S37" s="63"/>
      <c r="T37" s="142"/>
      <c r="U37" s="111"/>
      <c r="V37" s="73">
        <v>16516642.499801524</v>
      </c>
      <c r="W37" s="80"/>
      <c r="AF37" s="216">
        <v>500000</v>
      </c>
    </row>
    <row r="38" spans="1:32" s="50" customFormat="1" x14ac:dyDescent="0.25">
      <c r="A38" s="49">
        <f t="shared" si="7"/>
        <v>23</v>
      </c>
      <c r="B38" s="49">
        <f t="shared" si="2"/>
        <v>2039</v>
      </c>
      <c r="C38" s="49">
        <f t="shared" si="0"/>
        <v>2040</v>
      </c>
      <c r="D38" s="54"/>
      <c r="E38" s="63"/>
      <c r="F38" s="56"/>
      <c r="G38" s="54">
        <f t="shared" si="4"/>
        <v>-41123397.377053507</v>
      </c>
      <c r="H38" s="63">
        <f t="shared" si="5"/>
        <v>7</v>
      </c>
      <c r="I38" s="56">
        <f t="shared" si="1"/>
        <v>-9343675.8886780888</v>
      </c>
      <c r="J38" s="54">
        <f t="shared" si="10"/>
        <v>20193060.209731404</v>
      </c>
      <c r="K38" s="63">
        <f t="shared" si="11"/>
        <v>8</v>
      </c>
      <c r="L38" s="56">
        <f t="shared" si="12"/>
        <v>3897182.8860874362</v>
      </c>
      <c r="M38" s="54">
        <f t="shared" si="13"/>
        <v>0</v>
      </c>
      <c r="N38" s="63">
        <f t="shared" si="14"/>
        <v>8</v>
      </c>
      <c r="O38" s="56">
        <f t="shared" si="15"/>
        <v>0</v>
      </c>
      <c r="P38" s="54">
        <f t="shared" si="6"/>
        <v>-20930337.167322103</v>
      </c>
      <c r="Q38" s="63">
        <f t="shared" si="16"/>
        <v>8</v>
      </c>
      <c r="R38" s="297">
        <f t="shared" si="17"/>
        <v>-5446493.0025906526</v>
      </c>
      <c r="S38" s="63"/>
      <c r="T38" s="142"/>
      <c r="U38" s="111"/>
      <c r="V38" s="73">
        <v>14947292.50750396</v>
      </c>
      <c r="W38" s="80"/>
      <c r="AF38" s="216">
        <v>500000</v>
      </c>
    </row>
    <row r="39" spans="1:32" s="50" customFormat="1" x14ac:dyDescent="0.25">
      <c r="A39" s="49">
        <f t="shared" si="7"/>
        <v>24</v>
      </c>
      <c r="B39" s="49">
        <f t="shared" si="2"/>
        <v>2040</v>
      </c>
      <c r="C39" s="49">
        <f t="shared" si="0"/>
        <v>2041</v>
      </c>
      <c r="D39" s="54"/>
      <c r="E39" s="63"/>
      <c r="F39" s="56"/>
      <c r="G39" s="54">
        <f t="shared" si="4"/>
        <v>-34519922.825828746</v>
      </c>
      <c r="H39" s="63">
        <f t="shared" si="5"/>
        <v>6</v>
      </c>
      <c r="I39" s="56">
        <f t="shared" si="1"/>
        <v>-9623986.1653384306</v>
      </c>
      <c r="J39" s="54">
        <f t="shared" si="10"/>
        <v>17666854.507434029</v>
      </c>
      <c r="K39" s="63">
        <f t="shared" si="11"/>
        <v>7</v>
      </c>
      <c r="L39" s="56">
        <f t="shared" si="12"/>
        <v>4014098.3726700596</v>
      </c>
      <c r="M39" s="54">
        <f t="shared" si="13"/>
        <v>0</v>
      </c>
      <c r="N39" s="63">
        <f t="shared" si="14"/>
        <v>7</v>
      </c>
      <c r="O39" s="56">
        <f t="shared" si="15"/>
        <v>0</v>
      </c>
      <c r="P39" s="54">
        <f t="shared" si="6"/>
        <v>-16853068.318394717</v>
      </c>
      <c r="Q39" s="63">
        <f t="shared" si="16"/>
        <v>7</v>
      </c>
      <c r="R39" s="297">
        <f t="shared" si="17"/>
        <v>-5609887.7926683705</v>
      </c>
      <c r="S39" s="63"/>
      <c r="T39" s="142"/>
      <c r="U39" s="111"/>
      <c r="V39" s="73">
        <v>14464674.546735369</v>
      </c>
      <c r="W39" s="80"/>
      <c r="AF39" s="216">
        <v>500000</v>
      </c>
    </row>
    <row r="40" spans="1:32" s="50" customFormat="1" x14ac:dyDescent="0.25">
      <c r="A40" s="49">
        <f t="shared" si="7"/>
        <v>25</v>
      </c>
      <c r="B40" s="49">
        <f t="shared" si="2"/>
        <v>2041</v>
      </c>
      <c r="C40" s="49">
        <f t="shared" si="0"/>
        <v>2042</v>
      </c>
      <c r="D40" s="54"/>
      <c r="E40" s="63"/>
      <c r="F40" s="56"/>
      <c r="G40" s="54">
        <f t="shared" si="4"/>
        <v>-27130555.802627012</v>
      </c>
      <c r="H40" s="65">
        <f t="shared" si="5"/>
        <v>5</v>
      </c>
      <c r="I40" s="56">
        <f t="shared" si="1"/>
        <v>-9912705.750298582</v>
      </c>
      <c r="J40" s="54">
        <f t="shared" si="10"/>
        <v>14829962.820923533</v>
      </c>
      <c r="K40" s="63">
        <f t="shared" si="11"/>
        <v>6</v>
      </c>
      <c r="L40" s="56">
        <f t="shared" si="12"/>
        <v>4134521.3238501605</v>
      </c>
      <c r="M40" s="54">
        <f t="shared" si="13"/>
        <v>0</v>
      </c>
      <c r="N40" s="63">
        <f t="shared" si="14"/>
        <v>6</v>
      </c>
      <c r="O40" s="56">
        <f t="shared" si="15"/>
        <v>0</v>
      </c>
      <c r="P40" s="54">
        <f t="shared" si="6"/>
        <v>-12300592.981703479</v>
      </c>
      <c r="Q40" s="63">
        <f t="shared" si="16"/>
        <v>6</v>
      </c>
      <c r="R40" s="297">
        <f t="shared" si="17"/>
        <v>-5778184.4264484216</v>
      </c>
      <c r="S40" s="63"/>
      <c r="T40" s="142"/>
      <c r="U40" s="111"/>
      <c r="V40" s="73">
        <v>14947177.146256115</v>
      </c>
      <c r="W40" s="80"/>
      <c r="AF40" s="216">
        <v>500000</v>
      </c>
    </row>
    <row r="41" spans="1:32" s="50" customFormat="1" x14ac:dyDescent="0.25">
      <c r="A41" s="49">
        <f t="shared" si="7"/>
        <v>26</v>
      </c>
      <c r="B41" s="49">
        <f t="shared" si="2"/>
        <v>2042</v>
      </c>
      <c r="C41" s="49">
        <f t="shared" si="0"/>
        <v>2043</v>
      </c>
      <c r="D41" s="54"/>
      <c r="E41" s="63"/>
      <c r="F41" s="56"/>
      <c r="G41" s="54">
        <f t="shared" si="4"/>
        <v>-18887635.415630989</v>
      </c>
      <c r="H41" s="63">
        <f t="shared" si="5"/>
        <v>4</v>
      </c>
      <c r="I41" s="56">
        <f t="shared" si="1"/>
        <v>-8168069.5382460346</v>
      </c>
      <c r="J41" s="54">
        <f t="shared" si="10"/>
        <v>11655447.08468771</v>
      </c>
      <c r="K41" s="65">
        <f t="shared" si="11"/>
        <v>5</v>
      </c>
      <c r="L41" s="56">
        <f t="shared" si="12"/>
        <v>4258556.9635656653</v>
      </c>
      <c r="M41" s="54">
        <f t="shared" si="13"/>
        <v>0</v>
      </c>
      <c r="N41" s="65">
        <f t="shared" si="14"/>
        <v>5</v>
      </c>
      <c r="O41" s="56">
        <f t="shared" si="15"/>
        <v>0</v>
      </c>
      <c r="P41" s="54">
        <f t="shared" si="6"/>
        <v>-7232188.330943279</v>
      </c>
      <c r="Q41" s="63">
        <f t="shared" si="16"/>
        <v>5</v>
      </c>
      <c r="R41" s="297">
        <f t="shared" si="17"/>
        <v>-3909512.5746803693</v>
      </c>
      <c r="S41" s="63"/>
      <c r="T41" s="142"/>
      <c r="U41" s="111"/>
      <c r="V41" s="73">
        <v>15447554.189180791</v>
      </c>
      <c r="W41" s="80"/>
      <c r="AF41" s="216">
        <v>500000</v>
      </c>
    </row>
    <row r="42" spans="1:32" s="50" customFormat="1" x14ac:dyDescent="0.25">
      <c r="A42" s="49">
        <f t="shared" si="7"/>
        <v>27</v>
      </c>
      <c r="B42" s="49">
        <f t="shared" si="2"/>
        <v>2043</v>
      </c>
      <c r="C42" s="49">
        <f t="shared" si="0"/>
        <v>2044</v>
      </c>
      <c r="D42" s="54"/>
      <c r="E42" s="63"/>
      <c r="F42" s="56"/>
      <c r="G42" s="54">
        <f t="shared" si="4"/>
        <v>-11835373.324316237</v>
      </c>
      <c r="H42" s="63">
        <f t="shared" si="5"/>
        <v>3</v>
      </c>
      <c r="I42" s="56">
        <f t="shared" si="1"/>
        <v>-6309833.7182950601</v>
      </c>
      <c r="J42" s="54">
        <f t="shared" si="10"/>
        <v>8114239.7798000481</v>
      </c>
      <c r="K42" s="63">
        <f t="shared" si="11"/>
        <v>4</v>
      </c>
      <c r="L42" s="56">
        <f t="shared" si="12"/>
        <v>3509050.9379781093</v>
      </c>
      <c r="M42" s="54">
        <f t="shared" si="13"/>
        <v>0</v>
      </c>
      <c r="N42" s="63">
        <f t="shared" si="14"/>
        <v>4</v>
      </c>
      <c r="O42" s="56">
        <f t="shared" si="15"/>
        <v>0</v>
      </c>
      <c r="P42" s="54">
        <f t="shared" si="6"/>
        <v>-3721133.544516189</v>
      </c>
      <c r="Q42" s="63">
        <f t="shared" si="16"/>
        <v>4</v>
      </c>
      <c r="R42" s="297">
        <f t="shared" si="17"/>
        <v>-2800782.7803169508</v>
      </c>
      <c r="S42" s="63"/>
      <c r="T42" s="142"/>
      <c r="U42" s="111"/>
      <c r="V42" s="73">
        <v>13975602.927444577</v>
      </c>
      <c r="W42" s="80"/>
      <c r="AF42" s="216">
        <v>500000</v>
      </c>
    </row>
    <row r="43" spans="1:32" s="50" customFormat="1" x14ac:dyDescent="0.25">
      <c r="A43" s="49">
        <f t="shared" si="7"/>
        <v>28</v>
      </c>
      <c r="B43" s="49">
        <f t="shared" si="2"/>
        <v>2044</v>
      </c>
      <c r="C43" s="49">
        <f t="shared" si="0"/>
        <v>2045</v>
      </c>
      <c r="D43" s="54"/>
      <c r="E43" s="63"/>
      <c r="F43" s="56"/>
      <c r="G43" s="54">
        <f t="shared" si="4"/>
        <v>-6180851.4812061889</v>
      </c>
      <c r="H43" s="63">
        <f t="shared" si="5"/>
        <v>2</v>
      </c>
      <c r="I43" s="56">
        <f t="shared" si="1"/>
        <v>-4332752.4865626087</v>
      </c>
      <c r="J43" s="54">
        <f t="shared" si="10"/>
        <v>5084546.3142239172</v>
      </c>
      <c r="K43" s="63">
        <f t="shared" si="11"/>
        <v>3</v>
      </c>
      <c r="L43" s="56">
        <f t="shared" si="12"/>
        <v>2710741.8495880882</v>
      </c>
      <c r="M43" s="54">
        <f t="shared" si="13"/>
        <v>0</v>
      </c>
      <c r="N43" s="63">
        <f t="shared" si="14"/>
        <v>3</v>
      </c>
      <c r="O43" s="56">
        <f t="shared" si="15"/>
        <v>0</v>
      </c>
      <c r="P43" s="54">
        <f t="shared" si="6"/>
        <v>-1096305.1669822717</v>
      </c>
      <c r="Q43" s="63">
        <f t="shared" si="16"/>
        <v>3</v>
      </c>
      <c r="R43" s="297">
        <f t="shared" si="17"/>
        <v>-1622010.6369745205</v>
      </c>
      <c r="S43" s="63"/>
      <c r="T43" s="142"/>
      <c r="U43" s="111"/>
      <c r="V43" s="73">
        <v>11128645.887288693</v>
      </c>
      <c r="W43" s="80"/>
      <c r="AF43" s="216">
        <v>500000</v>
      </c>
    </row>
    <row r="44" spans="1:32" x14ac:dyDescent="0.25">
      <c r="A44" s="49">
        <f t="shared" si="7"/>
        <v>29</v>
      </c>
      <c r="B44" s="49">
        <f t="shared" si="2"/>
        <v>2045</v>
      </c>
      <c r="C44" s="49">
        <f t="shared" si="0"/>
        <v>2046</v>
      </c>
      <c r="D44" s="54"/>
      <c r="E44" s="63"/>
      <c r="F44" s="56"/>
      <c r="G44" s="54">
        <f t="shared" si="4"/>
        <v>-2152121.9504921334</v>
      </c>
      <c r="H44" s="63">
        <f t="shared" si="5"/>
        <v>1</v>
      </c>
      <c r="I44" s="56">
        <f t="shared" si="1"/>
        <v>-2231367.530579743</v>
      </c>
      <c r="J44" s="54">
        <f t="shared" si="10"/>
        <v>2655330.318390986</v>
      </c>
      <c r="K44" s="63">
        <f t="shared" si="11"/>
        <v>2</v>
      </c>
      <c r="L44" s="56">
        <f t="shared" si="12"/>
        <v>1861376.0700504878</v>
      </c>
      <c r="M44" s="54">
        <f t="shared" si="13"/>
        <v>0</v>
      </c>
      <c r="N44" s="63">
        <f t="shared" si="14"/>
        <v>2</v>
      </c>
      <c r="O44" s="56">
        <f t="shared" si="15"/>
        <v>0</v>
      </c>
      <c r="P44" s="54">
        <f t="shared" si="6"/>
        <v>503208.36789885256</v>
      </c>
      <c r="Q44" s="63">
        <f t="shared" si="16"/>
        <v>2</v>
      </c>
      <c r="R44" s="297">
        <f t="shared" si="17"/>
        <v>-369991.46052925522</v>
      </c>
      <c r="S44" s="63"/>
      <c r="T44" s="142"/>
      <c r="U44" s="111"/>
      <c r="V44" s="73">
        <v>8086953.8525537541</v>
      </c>
      <c r="W44" s="80"/>
      <c r="AF44" s="216">
        <v>500000</v>
      </c>
    </row>
    <row r="45" spans="1:32" x14ac:dyDescent="0.25">
      <c r="A45" s="49">
        <f t="shared" si="7"/>
        <v>30</v>
      </c>
      <c r="B45" s="49">
        <f t="shared" si="2"/>
        <v>2046</v>
      </c>
      <c r="C45" s="49">
        <f t="shared" si="0"/>
        <v>2047</v>
      </c>
      <c r="D45" s="54"/>
      <c r="E45" s="63"/>
      <c r="F45" s="56"/>
      <c r="G45" s="22"/>
      <c r="H45" s="52"/>
      <c r="I45" s="52"/>
      <c r="J45" s="54">
        <f t="shared" si="10"/>
        <v>924564.3066158311</v>
      </c>
      <c r="K45" s="63">
        <f t="shared" si="11"/>
        <v>1</v>
      </c>
      <c r="L45" s="56">
        <f t="shared" si="12"/>
        <v>958608.67607600102</v>
      </c>
      <c r="M45" s="54">
        <f t="shared" si="13"/>
        <v>0</v>
      </c>
      <c r="N45" s="63">
        <f t="shared" si="14"/>
        <v>1</v>
      </c>
      <c r="O45" s="56">
        <f t="shared" si="15"/>
        <v>0</v>
      </c>
      <c r="P45" s="54">
        <f t="shared" si="6"/>
        <v>924564.3066158311</v>
      </c>
      <c r="Q45" s="63">
        <f t="shared" si="16"/>
        <v>1</v>
      </c>
      <c r="R45" s="297">
        <f t="shared" si="17"/>
        <v>958608.67607600102</v>
      </c>
      <c r="S45" s="63"/>
      <c r="T45" s="142"/>
      <c r="U45" s="111"/>
      <c r="V45" s="73">
        <v>4840611.217833709</v>
      </c>
      <c r="W45" s="80"/>
      <c r="AF45" s="216">
        <v>500000</v>
      </c>
    </row>
    <row r="46" spans="1:32" ht="15.75" thickBot="1" x14ac:dyDescent="0.3">
      <c r="C46" s="56"/>
      <c r="D46" s="57"/>
      <c r="E46" s="68"/>
      <c r="F46" s="59"/>
      <c r="G46" s="57"/>
      <c r="H46" s="68"/>
      <c r="I46" s="59"/>
      <c r="J46" s="57"/>
      <c r="K46" s="68"/>
      <c r="L46" s="59"/>
      <c r="M46" s="57"/>
      <c r="N46" s="68"/>
      <c r="O46" s="59"/>
      <c r="P46" s="66"/>
      <c r="Q46" s="67"/>
      <c r="R46" s="298"/>
      <c r="S46" s="146"/>
      <c r="T46" s="147"/>
      <c r="U46" s="52"/>
      <c r="V46" s="73">
        <v>1379227.1391988057</v>
      </c>
      <c r="W46" s="80"/>
    </row>
    <row r="47" spans="1:32" x14ac:dyDescent="0.25">
      <c r="C47" s="47"/>
      <c r="P47" s="49" t="s">
        <v>81</v>
      </c>
      <c r="R47" s="47">
        <f>SUM(R16:R46)</f>
        <v>467100922.00605696</v>
      </c>
      <c r="S47" s="47"/>
    </row>
    <row r="48" spans="1:32" x14ac:dyDescent="0.25">
      <c r="B48" s="215">
        <v>0</v>
      </c>
      <c r="C48" s="52"/>
      <c r="D48" s="56"/>
      <c r="E48" s="49" t="s">
        <v>152</v>
      </c>
      <c r="P48" s="49" t="s">
        <v>86</v>
      </c>
      <c r="R48" s="48">
        <f>NPV(0.03,R16:R45)</f>
        <v>366588297.45111752</v>
      </c>
      <c r="S48" s="48"/>
      <c r="T48" s="48"/>
      <c r="U48" s="48"/>
    </row>
    <row r="49" spans="2:19" x14ac:dyDescent="0.25">
      <c r="B49" s="215">
        <v>-1</v>
      </c>
      <c r="C49" s="52"/>
      <c r="D49" s="274"/>
      <c r="E49" s="49" t="s">
        <v>153</v>
      </c>
      <c r="S49" s="49"/>
    </row>
    <row r="50" spans="2:19" x14ac:dyDescent="0.25">
      <c r="B50" s="215">
        <v>1</v>
      </c>
      <c r="C50" s="52"/>
      <c r="D50" s="56"/>
      <c r="E50" s="49" t="s">
        <v>154</v>
      </c>
      <c r="S50" s="49"/>
    </row>
    <row r="51" spans="2:19" x14ac:dyDescent="0.25">
      <c r="S51" s="49"/>
    </row>
    <row r="52" spans="2:19" x14ac:dyDescent="0.25">
      <c r="S52" s="49"/>
    </row>
    <row r="53" spans="2:19" x14ac:dyDescent="0.25">
      <c r="S53" s="47"/>
    </row>
  </sheetData>
  <mergeCells count="8">
    <mergeCell ref="W5:AB5"/>
    <mergeCell ref="D10:R10"/>
    <mergeCell ref="P11:R11"/>
    <mergeCell ref="D12:F12"/>
    <mergeCell ref="G12:I12"/>
    <mergeCell ref="J12:L12"/>
    <mergeCell ref="M12:O12"/>
    <mergeCell ref="P12:R12"/>
  </mergeCells>
  <conditionalFormatting sqref="T14:U45">
    <cfRule type="iconSet" priority="22">
      <iconSet>
        <cfvo type="percent" val="0"/>
        <cfvo type="num" val="0.7"/>
        <cfvo type="num" val="0.8"/>
      </iconSet>
    </cfRule>
  </conditionalFormatting>
  <conditionalFormatting sqref="D17">
    <cfRule type="cellIs" dxfId="566" priority="19" operator="greaterThanOrEqual">
      <formula>D16</formula>
    </cfRule>
    <cfRule type="cellIs" dxfId="565" priority="20" operator="greaterThan">
      <formula>D$16</formula>
    </cfRule>
    <cfRule type="cellIs" dxfId="564" priority="21" operator="lessThanOrEqual">
      <formula>D$16</formula>
    </cfRule>
  </conditionalFormatting>
  <conditionalFormatting sqref="D18:D33">
    <cfRule type="cellIs" dxfId="563" priority="16" operator="greaterThanOrEqual">
      <formula>D17</formula>
    </cfRule>
    <cfRule type="cellIs" dxfId="562" priority="17" operator="greaterThan">
      <formula>D$16</formula>
    </cfRule>
    <cfRule type="cellIs" dxfId="561" priority="18" operator="lessThanOrEqual">
      <formula>D$16</formula>
    </cfRule>
  </conditionalFormatting>
  <conditionalFormatting sqref="D48">
    <cfRule type="cellIs" dxfId="560" priority="13" operator="greaterThanOrEqual">
      <formula>B48</formula>
    </cfRule>
    <cfRule type="cellIs" dxfId="559" priority="14" operator="greaterThan">
      <formula>B49</formula>
    </cfRule>
    <cfRule type="cellIs" dxfId="558" priority="15" operator="lessThanOrEqual">
      <formula>51</formula>
    </cfRule>
  </conditionalFormatting>
  <conditionalFormatting sqref="G16:G22">
    <cfRule type="cellIs" dxfId="557" priority="23" operator="greaterThanOrEqual">
      <formula>G15</formula>
    </cfRule>
    <cfRule type="cellIs" dxfId="556" priority="24" operator="greaterThan">
      <formula>G$15</formula>
    </cfRule>
    <cfRule type="cellIs" dxfId="555" priority="25" operator="lessThanOrEqual">
      <formula>G$15</formula>
    </cfRule>
  </conditionalFormatting>
  <conditionalFormatting sqref="P18:P45">
    <cfRule type="cellIs" dxfId="554" priority="1" operator="greaterThanOrEqual">
      <formula>P17</formula>
    </cfRule>
    <cfRule type="cellIs" dxfId="553" priority="2" operator="greaterThan">
      <formula>P$16</formula>
    </cfRule>
    <cfRule type="cellIs" dxfId="552" priority="3" operator="lessThanOrEqual">
      <formula>P$16</formula>
    </cfRule>
  </conditionalFormatting>
  <conditionalFormatting sqref="J17">
    <cfRule type="cellIs" dxfId="551" priority="10" operator="greaterThanOrEqual">
      <formula>J16</formula>
    </cfRule>
    <cfRule type="cellIs" dxfId="550" priority="11" operator="greaterThan">
      <formula>J$16</formula>
    </cfRule>
    <cfRule type="cellIs" dxfId="549" priority="12" operator="lessThanOrEqual">
      <formula>J$16</formula>
    </cfRule>
  </conditionalFormatting>
  <conditionalFormatting sqref="J18:J45">
    <cfRule type="cellIs" dxfId="548" priority="7" operator="greaterThanOrEqual">
      <formula>J17</formula>
    </cfRule>
    <cfRule type="cellIs" dxfId="547" priority="8" operator="greaterThan">
      <formula>J$16</formula>
    </cfRule>
    <cfRule type="cellIs" dxfId="546" priority="9" operator="lessThanOrEqual">
      <formula>J$16</formula>
    </cfRule>
  </conditionalFormatting>
  <conditionalFormatting sqref="P17">
    <cfRule type="cellIs" dxfId="545" priority="4" operator="greaterThanOrEqual">
      <formula>P16</formula>
    </cfRule>
    <cfRule type="cellIs" dxfId="544" priority="5" operator="greaterThan">
      <formula>P$16</formula>
    </cfRule>
    <cfRule type="cellIs" dxfId="543" priority="6" operator="lessThanOrEqual">
      <formula>P$16</formula>
    </cfRule>
  </conditionalFormatting>
  <conditionalFormatting sqref="D50">
    <cfRule type="cellIs" dxfId="542" priority="26" operator="greaterThanOrEqual">
      <formula>B50</formula>
    </cfRule>
    <cfRule type="cellIs" dxfId="541" priority="27" operator="greaterThan">
      <formula>D48</formula>
    </cfRule>
    <cfRule type="cellIs" dxfId="540" priority="28" operator="lessThanOrEqual">
      <formula>51</formula>
    </cfRule>
  </conditionalFormatting>
  <pageMargins left="0.25" right="0.25" top="0.25" bottom="0.25" header="0.3" footer="0.3"/>
  <pageSetup scale="56" orientation="landscape" r:id="rId1"/>
  <headerFooter differentFirst="1">
    <oddFooter>&amp;R&amp;P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AO57"/>
  <sheetViews>
    <sheetView showGridLines="0" zoomScaleNormal="100" workbookViewId="0">
      <selection activeCell="F6" sqref="F6"/>
    </sheetView>
  </sheetViews>
  <sheetFormatPr defaultColWidth="9.140625" defaultRowHeight="15" x14ac:dyDescent="0.25"/>
  <cols>
    <col min="1" max="1" width="3.5703125" style="49" customWidth="1"/>
    <col min="2" max="3" width="5" style="49" bestFit="1" customWidth="1"/>
    <col min="4" max="4" width="14.7109375" style="49" customWidth="1"/>
    <col min="5" max="5" width="6.28515625" style="49" customWidth="1"/>
    <col min="6" max="6" width="12.28515625" style="49" customWidth="1"/>
    <col min="7" max="7" width="14" style="49" bestFit="1" customWidth="1"/>
    <col min="8" max="8" width="9.5703125" style="49" bestFit="1" customWidth="1"/>
    <col min="9" max="9" width="11.85546875" style="49" bestFit="1" customWidth="1"/>
    <col min="10" max="10" width="14.85546875" style="49" customWidth="1"/>
    <col min="11" max="12" width="11.85546875" style="49" customWidth="1"/>
    <col min="13" max="13" width="12.28515625" style="49" customWidth="1"/>
    <col min="14" max="14" width="9.28515625" style="49" customWidth="1"/>
    <col min="15" max="15" width="11.28515625" style="49" customWidth="1"/>
    <col min="16" max="16" width="12.28515625" style="49" customWidth="1"/>
    <col min="17" max="17" width="9.28515625" style="49" customWidth="1"/>
    <col min="18" max="18" width="11.28515625" style="49" customWidth="1"/>
    <col min="19" max="19" width="12.28515625" style="49" customWidth="1"/>
    <col min="20" max="20" width="9.28515625" style="49" customWidth="1"/>
    <col min="21" max="21" width="11.28515625" style="49" customWidth="1"/>
    <col min="22" max="22" width="12.28515625" style="49" customWidth="1"/>
    <col min="23" max="23" width="9.28515625" style="49" customWidth="1"/>
    <col min="24" max="24" width="11.28515625" style="49" customWidth="1"/>
    <col min="25" max="25" width="15.140625" style="49" bestFit="1" customWidth="1"/>
    <col min="26" max="26" width="7" style="49" customWidth="1"/>
    <col min="27" max="27" width="15.5703125" style="49" bestFit="1" customWidth="1"/>
    <col min="28" max="28" width="14" style="50" hidden="1" customWidth="1"/>
    <col min="29" max="29" width="15.28515625" style="49" hidden="1" customWidth="1"/>
    <col min="30" max="30" width="4" style="49" customWidth="1"/>
    <col min="31" max="31" width="15.28515625" style="73" bestFit="1" customWidth="1"/>
    <col min="32" max="32" width="11.5703125" style="49" bestFit="1" customWidth="1"/>
    <col min="33" max="37" width="9.140625" style="49"/>
    <col min="38" max="38" width="4.85546875" style="49" customWidth="1"/>
    <col min="39" max="40" width="9.140625" style="49"/>
    <col min="41" max="41" width="12.5703125" style="215" bestFit="1" customWidth="1"/>
    <col min="42" max="16384" width="9.140625" style="49"/>
  </cols>
  <sheetData>
    <row r="1" spans="1:41" ht="11.25" customHeight="1" thickBot="1" x14ac:dyDescent="0.3"/>
    <row r="2" spans="1:41" ht="27.75" thickTop="1" thickBot="1" x14ac:dyDescent="0.45">
      <c r="D2" s="214" t="s">
        <v>220</v>
      </c>
      <c r="G2" s="246" t="s">
        <v>141</v>
      </c>
      <c r="H2" s="244">
        <v>7.0000000000000007E-2</v>
      </c>
      <c r="J2" s="246" t="s">
        <v>141</v>
      </c>
      <c r="K2" s="244">
        <v>7.0000000000000007E-2</v>
      </c>
      <c r="M2" s="246" t="s">
        <v>141</v>
      </c>
      <c r="N2" s="244">
        <v>7.0000000000000007E-2</v>
      </c>
      <c r="P2" s="246" t="s">
        <v>141</v>
      </c>
      <c r="Q2" s="406">
        <v>7.0000000000000007E-2</v>
      </c>
      <c r="S2" s="246" t="s">
        <v>141</v>
      </c>
      <c r="T2" s="244">
        <v>7.0000000000000007E-2</v>
      </c>
      <c r="V2" s="246" t="s">
        <v>141</v>
      </c>
      <c r="W2" s="244">
        <v>7.0000000000000007E-2</v>
      </c>
    </row>
    <row r="3" spans="1:41" ht="27.75" thickTop="1" thickBot="1" x14ac:dyDescent="0.45">
      <c r="D3" s="214" t="s">
        <v>247</v>
      </c>
      <c r="G3" s="247" t="s">
        <v>142</v>
      </c>
      <c r="H3" s="244">
        <v>0.03</v>
      </c>
      <c r="J3" s="247" t="s">
        <v>142</v>
      </c>
      <c r="K3" s="244">
        <v>0.03</v>
      </c>
      <c r="M3" s="247" t="s">
        <v>142</v>
      </c>
      <c r="N3" s="244">
        <v>0.03</v>
      </c>
      <c r="P3" s="247" t="s">
        <v>142</v>
      </c>
      <c r="Q3" s="244">
        <v>0.03</v>
      </c>
      <c r="S3" s="247" t="s">
        <v>142</v>
      </c>
      <c r="T3" s="244">
        <v>0.03</v>
      </c>
      <c r="V3" s="247" t="s">
        <v>142</v>
      </c>
      <c r="W3" s="244">
        <v>0.03</v>
      </c>
    </row>
    <row r="4" spans="1:41" ht="27" thickTop="1" x14ac:dyDescent="0.4">
      <c r="D4" s="214" t="s">
        <v>250</v>
      </c>
      <c r="G4" s="248"/>
      <c r="H4" s="250"/>
      <c r="J4" s="248"/>
      <c r="K4" s="250"/>
      <c r="M4" s="248"/>
      <c r="N4" s="250"/>
      <c r="P4" s="248"/>
      <c r="Q4" s="250"/>
      <c r="S4" s="248"/>
      <c r="T4" s="250"/>
      <c r="V4" s="248"/>
      <c r="W4" s="250"/>
    </row>
    <row r="5" spans="1:41" ht="26.25" x14ac:dyDescent="0.4">
      <c r="D5" s="214" t="s">
        <v>248</v>
      </c>
      <c r="G5" s="248" t="s">
        <v>143</v>
      </c>
      <c r="H5" s="250">
        <v>5</v>
      </c>
      <c r="J5" s="248" t="s">
        <v>143</v>
      </c>
      <c r="K5" s="250">
        <v>5</v>
      </c>
      <c r="M5" s="248" t="s">
        <v>143</v>
      </c>
      <c r="N5" s="250">
        <v>5</v>
      </c>
      <c r="P5" s="248" t="s">
        <v>143</v>
      </c>
      <c r="Q5" s="250">
        <v>5</v>
      </c>
      <c r="S5" s="248" t="s">
        <v>143</v>
      </c>
      <c r="T5" s="250">
        <v>5</v>
      </c>
      <c r="V5" s="248" t="s">
        <v>143</v>
      </c>
      <c r="W5" s="250">
        <v>5</v>
      </c>
      <c r="AF5" s="540"/>
      <c r="AG5" s="540"/>
      <c r="AH5" s="540"/>
      <c r="AI5" s="540"/>
      <c r="AJ5" s="540"/>
      <c r="AK5" s="540"/>
    </row>
    <row r="6" spans="1:41" ht="26.25" x14ac:dyDescent="0.4">
      <c r="D6" s="214" t="s">
        <v>249</v>
      </c>
      <c r="G6" s="248" t="s">
        <v>144</v>
      </c>
      <c r="H6" s="251">
        <f>H15+1-H5</f>
        <v>26</v>
      </c>
      <c r="J6" s="248" t="s">
        <v>144</v>
      </c>
      <c r="K6" s="251">
        <f>K16+1-K5</f>
        <v>26</v>
      </c>
      <c r="M6" s="248" t="s">
        <v>144</v>
      </c>
      <c r="N6" s="251">
        <f>N17+1-N5</f>
        <v>26</v>
      </c>
      <c r="P6" s="248" t="s">
        <v>144</v>
      </c>
      <c r="Q6" s="251">
        <f>Q17+1-Q5</f>
        <v>16</v>
      </c>
      <c r="S6" s="248" t="s">
        <v>144</v>
      </c>
      <c r="T6" s="251">
        <f>T17+1-T5</f>
        <v>16</v>
      </c>
      <c r="V6" s="248" t="s">
        <v>144</v>
      </c>
      <c r="W6" s="251">
        <f>W17+1-W5</f>
        <v>16</v>
      </c>
    </row>
    <row r="7" spans="1:41" x14ac:dyDescent="0.25">
      <c r="G7" s="248" t="s">
        <v>145</v>
      </c>
      <c r="H7" s="252">
        <f>1/(-PMT((1+H2)/(1+H3)-1,H5,1,0,1))</f>
        <v>4.6398839816425737</v>
      </c>
      <c r="J7" s="248" t="s">
        <v>145</v>
      </c>
      <c r="K7" s="252">
        <f>1/(-PMT((1+K2)/(1+K3)-1,K5,1,0,1))</f>
        <v>4.6398839816425737</v>
      </c>
      <c r="M7" s="248" t="s">
        <v>145</v>
      </c>
      <c r="N7" s="252">
        <f>1/(-PMT((1+N2)/(1+N3)-1,N5,1,0,1))</f>
        <v>4.6398839816425737</v>
      </c>
      <c r="P7" s="248" t="s">
        <v>145</v>
      </c>
      <c r="Q7" s="252">
        <f>1/(-PMT((1+Q2)/(1+Q3)-1,Q5,1,0,1))</f>
        <v>4.6398839816425737</v>
      </c>
      <c r="S7" s="248" t="s">
        <v>145</v>
      </c>
      <c r="T7" s="252">
        <f>1/(-PMT((1+T2)/(1+T3)-1,T5,1,0,1))</f>
        <v>4.6398839816425737</v>
      </c>
      <c r="V7" s="248" t="s">
        <v>145</v>
      </c>
      <c r="W7" s="252">
        <f>1/(-PMT((1+W2)/(1+W3)-1,W5,1,0,1))</f>
        <v>4.6398839816425737</v>
      </c>
    </row>
    <row r="8" spans="1:41" x14ac:dyDescent="0.25">
      <c r="G8" s="249" t="s">
        <v>146</v>
      </c>
      <c r="H8" s="253">
        <f>1/(-PMT((1+H2)/(1+H3)-1,H6,1,0,1)*(1+H2)^0.5)</f>
        <v>16.256878440621026</v>
      </c>
      <c r="J8" s="249" t="s">
        <v>146</v>
      </c>
      <c r="K8" s="253">
        <f>1/(-PMT((1+K2)/(1+K3)-1,K6,1,0,1)*(1+K2)^0.5)</f>
        <v>16.256878440621026</v>
      </c>
      <c r="M8" s="249" t="s">
        <v>146</v>
      </c>
      <c r="N8" s="253">
        <f>1/(-PMT((1+N2)/(1+N3)-1,N6,1,0,1)*(1+N2)^0.5)</f>
        <v>16.256878440621026</v>
      </c>
      <c r="P8" s="249" t="s">
        <v>146</v>
      </c>
      <c r="Q8" s="253">
        <f>1/(-PMT((1+Q2)/(1+Q3)-1,Q6,1,0,1)*(1+Q2)^0.5)</f>
        <v>11.803382176585611</v>
      </c>
      <c r="S8" s="249" t="s">
        <v>146</v>
      </c>
      <c r="T8" s="253">
        <f>1/(-PMT((1+T2)/(1+T3)-1,T6,1,0,1)*(1+T2)^0.5)</f>
        <v>11.803382176585611</v>
      </c>
      <c r="V8" s="249" t="s">
        <v>146</v>
      </c>
      <c r="W8" s="253">
        <f>1/(-PMT((1+W2)/(1+W3)-1,W6,1,0,1)*(1+W2)^0.5)</f>
        <v>11.803382176585611</v>
      </c>
    </row>
    <row r="9" spans="1:41" ht="15.75" thickBot="1" x14ac:dyDescent="0.3">
      <c r="A9" s="476">
        <v>1</v>
      </c>
      <c r="B9" s="476">
        <v>2</v>
      </c>
      <c r="C9" s="476">
        <v>3</v>
      </c>
      <c r="D9" s="476">
        <v>4</v>
      </c>
      <c r="E9" s="476">
        <v>5</v>
      </c>
      <c r="F9" s="476">
        <v>6</v>
      </c>
      <c r="G9" s="476">
        <v>7</v>
      </c>
      <c r="H9" s="476">
        <v>8</v>
      </c>
      <c r="I9" s="476">
        <v>9</v>
      </c>
      <c r="J9" s="476">
        <v>10</v>
      </c>
      <c r="K9" s="476">
        <v>11</v>
      </c>
      <c r="L9" s="476">
        <v>12</v>
      </c>
      <c r="M9" s="476">
        <v>13</v>
      </c>
      <c r="N9" s="476">
        <v>14</v>
      </c>
      <c r="O9" s="476">
        <v>15</v>
      </c>
      <c r="P9" s="476">
        <v>16</v>
      </c>
      <c r="Q9" s="476">
        <v>17</v>
      </c>
      <c r="R9" s="476">
        <v>18</v>
      </c>
      <c r="S9" s="476">
        <v>19</v>
      </c>
      <c r="T9" s="476">
        <v>20</v>
      </c>
      <c r="U9" s="476">
        <v>21</v>
      </c>
      <c r="V9" s="476">
        <v>22</v>
      </c>
      <c r="W9" s="476">
        <v>23</v>
      </c>
      <c r="X9" s="476">
        <v>24</v>
      </c>
      <c r="Y9" s="476">
        <v>25</v>
      </c>
      <c r="Z9" s="476">
        <v>26</v>
      </c>
      <c r="AA9" s="476">
        <v>27</v>
      </c>
    </row>
    <row r="10" spans="1:41" x14ac:dyDescent="0.25">
      <c r="C10" s="340"/>
      <c r="D10" s="590" t="s">
        <v>198</v>
      </c>
      <c r="E10" s="591"/>
      <c r="F10" s="591"/>
      <c r="G10" s="591"/>
      <c r="H10" s="591"/>
      <c r="I10" s="591"/>
      <c r="J10" s="591"/>
      <c r="K10" s="591"/>
      <c r="L10" s="591"/>
      <c r="M10" s="591"/>
      <c r="N10" s="591"/>
      <c r="O10" s="591"/>
      <c r="P10" s="591"/>
      <c r="Q10" s="591"/>
      <c r="R10" s="591"/>
      <c r="S10" s="591"/>
      <c r="T10" s="591"/>
      <c r="U10" s="591"/>
      <c r="V10" s="591"/>
      <c r="W10" s="591"/>
      <c r="X10" s="591"/>
      <c r="Y10" s="591"/>
      <c r="Z10" s="591"/>
      <c r="AA10" s="592"/>
      <c r="AB10" s="280"/>
      <c r="AC10" s="281"/>
      <c r="AD10" s="219"/>
    </row>
    <row r="11" spans="1:41" x14ac:dyDescent="0.25">
      <c r="C11" s="341" t="s">
        <v>166</v>
      </c>
      <c r="D11" s="288"/>
      <c r="E11" s="289" t="s">
        <v>155</v>
      </c>
      <c r="F11" s="290"/>
      <c r="G11" s="30"/>
      <c r="H11" s="254" t="s">
        <v>156</v>
      </c>
      <c r="I11" s="254"/>
      <c r="J11" s="30"/>
      <c r="K11" s="254" t="s">
        <v>157</v>
      </c>
      <c r="L11" s="254"/>
      <c r="M11" s="304"/>
      <c r="N11" s="305" t="s">
        <v>158</v>
      </c>
      <c r="O11" s="305"/>
      <c r="P11" s="304"/>
      <c r="Q11" s="308" t="s">
        <v>213</v>
      </c>
      <c r="R11" s="305"/>
      <c r="S11" s="407"/>
      <c r="T11" s="308" t="s">
        <v>214</v>
      </c>
      <c r="U11" s="308"/>
      <c r="V11" s="407"/>
      <c r="W11" s="308" t="s">
        <v>215</v>
      </c>
      <c r="X11" s="308"/>
      <c r="Y11" s="576" t="s">
        <v>65</v>
      </c>
      <c r="Z11" s="577"/>
      <c r="AA11" s="578"/>
      <c r="AB11" s="342"/>
      <c r="AC11" s="344"/>
      <c r="AD11" s="217"/>
    </row>
    <row r="12" spans="1:41" x14ac:dyDescent="0.25">
      <c r="B12" s="49" t="s">
        <v>161</v>
      </c>
      <c r="C12" s="88" t="s">
        <v>165</v>
      </c>
      <c r="D12" s="593" t="s">
        <v>147</v>
      </c>
      <c r="E12" s="594"/>
      <c r="F12" s="594"/>
      <c r="G12" s="595" t="s">
        <v>163</v>
      </c>
      <c r="H12" s="596"/>
      <c r="I12" s="597"/>
      <c r="J12" s="595" t="s">
        <v>148</v>
      </c>
      <c r="K12" s="596"/>
      <c r="L12" s="597"/>
      <c r="M12" s="595" t="s">
        <v>148</v>
      </c>
      <c r="N12" s="596"/>
      <c r="O12" s="597"/>
      <c r="P12" s="595" t="s">
        <v>148</v>
      </c>
      <c r="Q12" s="596"/>
      <c r="R12" s="597"/>
      <c r="S12" s="595" t="s">
        <v>148</v>
      </c>
      <c r="T12" s="596"/>
      <c r="U12" s="597"/>
      <c r="V12" s="595" t="s">
        <v>148</v>
      </c>
      <c r="W12" s="596"/>
      <c r="X12" s="597"/>
      <c r="Y12" s="565" t="s">
        <v>53</v>
      </c>
      <c r="Z12" s="566"/>
      <c r="AA12" s="567"/>
      <c r="AB12" s="343"/>
      <c r="AC12" s="345"/>
      <c r="AD12" s="218"/>
    </row>
    <row r="13" spans="1:41" x14ac:dyDescent="0.25">
      <c r="B13" s="49" t="s">
        <v>162</v>
      </c>
      <c r="C13" s="341" t="s">
        <v>162</v>
      </c>
      <c r="D13" s="74" t="s">
        <v>49</v>
      </c>
      <c r="E13" s="75" t="s">
        <v>50</v>
      </c>
      <c r="F13" s="76" t="s">
        <v>51</v>
      </c>
      <c r="G13" s="77" t="s">
        <v>49</v>
      </c>
      <c r="H13" s="78" t="s">
        <v>50</v>
      </c>
      <c r="I13" s="78" t="s">
        <v>51</v>
      </c>
      <c r="J13" s="77" t="s">
        <v>49</v>
      </c>
      <c r="K13" s="78" t="s">
        <v>50</v>
      </c>
      <c r="L13" s="78" t="s">
        <v>51</v>
      </c>
      <c r="M13" s="74" t="s">
        <v>49</v>
      </c>
      <c r="N13" s="75" t="s">
        <v>50</v>
      </c>
      <c r="O13" s="75" t="s">
        <v>51</v>
      </c>
      <c r="P13" s="74" t="s">
        <v>49</v>
      </c>
      <c r="Q13" s="75" t="s">
        <v>50</v>
      </c>
      <c r="R13" s="75" t="s">
        <v>51</v>
      </c>
      <c r="S13" s="74" t="s">
        <v>49</v>
      </c>
      <c r="T13" s="75" t="s">
        <v>50</v>
      </c>
      <c r="U13" s="75" t="s">
        <v>51</v>
      </c>
      <c r="V13" s="74" t="s">
        <v>49</v>
      </c>
      <c r="W13" s="75" t="s">
        <v>50</v>
      </c>
      <c r="X13" s="75" t="s">
        <v>51</v>
      </c>
      <c r="Y13" s="122" t="s">
        <v>49</v>
      </c>
      <c r="Z13" s="123" t="s">
        <v>52</v>
      </c>
      <c r="AA13" s="294" t="s">
        <v>51</v>
      </c>
      <c r="AB13" s="118"/>
      <c r="AC13" s="140"/>
      <c r="AD13" s="88"/>
    </row>
    <row r="14" spans="1:41" ht="15.75" thickBot="1" x14ac:dyDescent="0.3">
      <c r="B14" s="49">
        <v>2015</v>
      </c>
      <c r="C14" s="49">
        <f t="shared" ref="C14:C45" si="0">B14+1</f>
        <v>2016</v>
      </c>
      <c r="D14" s="87"/>
      <c r="E14" s="88"/>
      <c r="F14" s="88"/>
      <c r="G14" s="69"/>
      <c r="H14" s="70"/>
      <c r="I14" s="70"/>
      <c r="J14" s="306">
        <f>'Misc Curr Schd w2016Loss &amp; DC'!J14+'Safety Curr Schedule w2016Loss '!J14</f>
        <v>24796022</v>
      </c>
      <c r="K14" s="70"/>
      <c r="L14" s="70"/>
      <c r="N14" s="125"/>
      <c r="O14" s="295"/>
      <c r="Q14" s="125"/>
      <c r="R14" s="295"/>
      <c r="T14" s="125"/>
      <c r="U14" s="295"/>
      <c r="W14" s="125"/>
      <c r="X14" s="295"/>
      <c r="Y14" s="124">
        <f>'Misc Curr Schd w2016Loss &amp; DC'!Y14+'Safety Curr Schedule w2016Loss '!Y14</f>
        <v>101203363</v>
      </c>
      <c r="Z14" s="125"/>
      <c r="AA14" s="295"/>
      <c r="AB14" s="71"/>
      <c r="AC14" s="141"/>
      <c r="AD14" s="111"/>
    </row>
    <row r="15" spans="1:41" ht="16.5" thickTop="1" thickBot="1" x14ac:dyDescent="0.3">
      <c r="B15" s="49">
        <f>B14+1</f>
        <v>2016</v>
      </c>
      <c r="C15" s="49">
        <f t="shared" si="0"/>
        <v>2017</v>
      </c>
      <c r="D15" s="87"/>
      <c r="E15" s="75"/>
      <c r="F15" s="75"/>
      <c r="G15" s="291">
        <f>'Misc Curr Schd w2016Loss &amp; DC'!G15+'Safety Curr Schedule w2016Loss '!G15</f>
        <v>-67321034</v>
      </c>
      <c r="H15" s="292">
        <v>30</v>
      </c>
      <c r="I15" s="58">
        <f>IF(H15&gt;0,-PMT((1+H2)/(1+H3)-1,H6,G15,0,1)*((1+H2)^0.5)/H7,0)</f>
        <v>-892496.45158138534</v>
      </c>
      <c r="J15" s="307">
        <f>'Misc Curr Schd w2016Loss &amp; DC'!J15+'Safety Curr Schedule w2016Loss '!J15</f>
        <v>26783915</v>
      </c>
      <c r="K15" s="78"/>
      <c r="L15" s="78"/>
      <c r="M15" s="315">
        <f>'Misc Curr Schd w2016Loss &amp; DC'!M15+'Safety Curr Schedule w2016Loss '!M15</f>
        <v>39516231.207000002</v>
      </c>
      <c r="N15" s="78"/>
      <c r="O15" s="296"/>
      <c r="P15" s="315">
        <f>'Misc Curr Schd w2016Loss &amp; DC'!P15+'Safety Curr Schedule w2016Loss '!P15</f>
        <v>11975187</v>
      </c>
      <c r="Q15" s="78"/>
      <c r="R15" s="296"/>
      <c r="S15" s="315">
        <f>'Misc Curr Schd w2016Loss &amp; DC'!S15+'Safety Curr Schedule w2016Loss '!S15</f>
        <v>0</v>
      </c>
      <c r="T15" s="78"/>
      <c r="U15" s="296"/>
      <c r="V15" s="315">
        <f>'Misc Curr Schd w2016Loss &amp; DC'!V15+'Safety Curr Schedule w2016Loss '!V15</f>
        <v>0</v>
      </c>
      <c r="W15" s="78"/>
      <c r="X15" s="296"/>
      <c r="Y15" s="91">
        <f>'Misc Curr Schd w2016Loss &amp; DC'!Y15+'Safety Curr Schedule w2016Loss '!Y15</f>
        <v>100876936</v>
      </c>
      <c r="Z15" s="387"/>
      <c r="AA15" s="328"/>
      <c r="AB15" s="68"/>
      <c r="AC15" s="142"/>
      <c r="AD15" s="111"/>
    </row>
    <row r="16" spans="1:41" ht="16.5" thickTop="1" thickBot="1" x14ac:dyDescent="0.3">
      <c r="A16" s="49">
        <v>1</v>
      </c>
      <c r="B16" s="49">
        <f>B15+1</f>
        <v>2017</v>
      </c>
      <c r="C16" s="49">
        <f t="shared" si="0"/>
        <v>2018</v>
      </c>
      <c r="D16" s="293">
        <f>'Misc Curr Schd w2016Loss &amp; DC'!D16+'Safety Curr Schedule w2016Loss '!D16</f>
        <v>315444727</v>
      </c>
      <c r="E16" s="245">
        <v>17</v>
      </c>
      <c r="F16" s="56">
        <f>-PMT(1.075/1.03-1,E16,D16*1.075^0.5,0,1)</f>
        <v>26500896.923967961</v>
      </c>
      <c r="G16" s="54">
        <f>'Misc Curr Schd w2016Loss &amp; DC'!G16+'Safety Curr Schedule w2016Loss '!G16</f>
        <v>-71110300.871886373</v>
      </c>
      <c r="H16" s="63">
        <f>H15-1</f>
        <v>29</v>
      </c>
      <c r="I16" s="56">
        <f t="shared" ref="I16:I35" si="1">I$15*MIN(H$5,H$15+1-H16)*(1+H$3)^(H$15-H16)*IF(H16&lt;H$5,H16/H$5,1)</f>
        <v>-1838542.6902576538</v>
      </c>
      <c r="J16" s="200">
        <f>'Misc Curr Schd w2016Loss &amp; DC'!J16+'Safety Curr Schedule w2016Loss '!J16</f>
        <v>28921514</v>
      </c>
      <c r="K16" s="245">
        <v>30</v>
      </c>
      <c r="L16" s="56">
        <f>IF(K16&gt;0,-PMT((1+K2)/(1+K3)-1,K6,J16,0,1)*((1+K2)^0.5)/K7,0)</f>
        <v>383421.7492761825</v>
      </c>
      <c r="M16" s="316">
        <f>'Misc Curr Schd w2016Loss &amp; DC'!M16+'Safety Curr Schedule w2016Loss '!M16</f>
        <v>42479948.547525004</v>
      </c>
      <c r="P16" s="316">
        <f>'Misc Curr Schd w2016Loss &amp; DC'!P16+'Safety Curr Schedule w2016Loss '!P16</f>
        <v>12873326.024999999</v>
      </c>
      <c r="Q16" s="16"/>
      <c r="R16" s="19"/>
      <c r="S16" s="316">
        <f>'Misc Curr Schd w2016Loss &amp; DC'!S16+'Safety Curr Schedule w2016Loss '!S16</f>
        <v>12501914</v>
      </c>
      <c r="T16" s="16"/>
      <c r="U16" s="19"/>
      <c r="V16" s="316">
        <f>'Misc Curr Schd w2016Loss &amp; DC'!V16+'Safety Curr Schedule w2016Loss '!V16</f>
        <v>0</v>
      </c>
      <c r="W16" s="16"/>
      <c r="X16" s="19"/>
      <c r="Y16" s="299">
        <f>'Misc Curr Schd w2016Loss &amp; DC'!Y16+'Safety Curr Schedule w2016Loss '!Y16</f>
        <v>341111128.70063865</v>
      </c>
      <c r="Z16" s="395">
        <v>30</v>
      </c>
      <c r="AA16" s="301">
        <f>F16+I16+L16+O16+R16+U16+X16</f>
        <v>25045775.982986491</v>
      </c>
      <c r="AB16" s="71"/>
      <c r="AC16" s="141"/>
      <c r="AD16" s="111"/>
      <c r="AO16" s="216">
        <v>500000</v>
      </c>
    </row>
    <row r="17" spans="1:41" ht="16.5" thickTop="1" thickBot="1" x14ac:dyDescent="0.3">
      <c r="A17" s="49">
        <f>A16+1</f>
        <v>2</v>
      </c>
      <c r="B17" s="49">
        <f t="shared" ref="B17:B46" si="2">B16+1</f>
        <v>2018</v>
      </c>
      <c r="C17" s="49">
        <f t="shared" si="0"/>
        <v>2019</v>
      </c>
      <c r="D17" s="54">
        <f>'Misc Curr Schd w2016Loss &amp; DC'!D17+'Safety Curr Schedule w2016Loss '!D17</f>
        <v>311248040.35323012</v>
      </c>
      <c r="E17" s="63">
        <f>E16-1</f>
        <v>16</v>
      </c>
      <c r="F17" s="56">
        <f t="shared" ref="F17:F32" si="3">-PMT(1.075/1.03-1,E17,D17*1.075^0.5,0,1)</f>
        <v>27262785.527408827</v>
      </c>
      <c r="G17" s="54">
        <f>'Misc Curr Schd w2016Loss &amp; DC'!G17+'Safety Curr Schedule w2016Loss '!G17</f>
        <v>-74186218.58620435</v>
      </c>
      <c r="H17" s="63">
        <f t="shared" ref="H17:H44" si="4">H16-1</f>
        <v>28</v>
      </c>
      <c r="I17" s="56">
        <f t="shared" si="1"/>
        <v>-2840548.4564480749</v>
      </c>
      <c r="J17" s="54">
        <f>'Misc Curr Schd w2016Loss &amp; DC'!J17+'Safety Curr Schedule w2016Loss '!J17</f>
        <v>30549405.438580666</v>
      </c>
      <c r="K17" s="63">
        <f>K16-1</f>
        <v>29</v>
      </c>
      <c r="L17" s="56">
        <f>L$16*MIN(K$5,K$16+1-K17)*(1+K$3)^(K$16-K17)*IF(K17&lt;K$5,K17/K$5,1)</f>
        <v>789848.80350893596</v>
      </c>
      <c r="M17" s="200">
        <f>'Misc Curr Schd w2016Loss &amp; DC'!M17+'Safety Curr Schedule w2016Loss '!M17</f>
        <v>45665944.688589372</v>
      </c>
      <c r="N17" s="245">
        <v>30</v>
      </c>
      <c r="O17" s="56">
        <f>IF(N17&gt;0,-PMT((1+N2)/(1+N3)-1,N6,M17,0,1)*((1+N2)^0.5)/N7,0)</f>
        <v>605408.01546033635</v>
      </c>
      <c r="P17" s="293">
        <f>'Misc Curr Schd w2016Loss &amp; DC'!P17+'Safety Curr Schedule w2016Loss '!P17</f>
        <v>13825280.433731249</v>
      </c>
      <c r="Q17" s="245">
        <v>20</v>
      </c>
      <c r="R17" s="55">
        <f>IF(Q17&gt;0,-PMT((1+Q2)/(1+Q3)-1,Q6,P17,0,1)*((1+Q2)^0.5)/Q7,0)</f>
        <v>252441.27141731634</v>
      </c>
      <c r="S17" s="293">
        <f>'Misc Curr Schd w2016Loss &amp; DC'!S17+'Safety Curr Schedule w2016Loss '!S17</f>
        <v>13423930.157499999</v>
      </c>
      <c r="T17" s="245">
        <v>20</v>
      </c>
      <c r="U17" s="55">
        <f>IF(T17&gt;0,-PMT((1+T2)/(1+T3)-1,T6,S17,0,1)*((1+T2)^0.5)/T7,0)</f>
        <v>245112.8577550292</v>
      </c>
      <c r="V17" s="293">
        <f>'Misc Curr Schd w2016Loss &amp; DC'!V17+'Safety Curr Schedule w2016Loss '!V17</f>
        <v>26678934</v>
      </c>
      <c r="W17" s="245">
        <v>20</v>
      </c>
      <c r="X17" s="55">
        <f>IF(W17&gt;0,-PMT((1+W2)/(1+W3)-1,W6,V17,0,1)*((1+W2)^0.5)/W7,0)</f>
        <v>487141.22301539633</v>
      </c>
      <c r="Y17" s="54">
        <f>'Misc Curr Schd w2016Loss &amp; DC'!Y17+'Safety Curr Schedule w2016Loss '!Y17</f>
        <v>367205316.48542702</v>
      </c>
      <c r="Z17" s="63">
        <f>Z16-1</f>
        <v>29</v>
      </c>
      <c r="AA17" s="297">
        <f>F17+I17+L17+O17+R17+U17+X17</f>
        <v>26802189.242117766</v>
      </c>
      <c r="AB17" s="63"/>
      <c r="AC17" s="142"/>
      <c r="AD17" s="111"/>
      <c r="AF17" s="80"/>
      <c r="AO17" s="216">
        <v>500000</v>
      </c>
    </row>
    <row r="18" spans="1:41" ht="15.75" thickTop="1" x14ac:dyDescent="0.25">
      <c r="A18" s="49">
        <f t="shared" ref="A18:A46" si="5">A17+1</f>
        <v>3</v>
      </c>
      <c r="B18" s="49">
        <f t="shared" si="2"/>
        <v>2019</v>
      </c>
      <c r="C18" s="49">
        <f t="shared" si="0"/>
        <v>2020</v>
      </c>
      <c r="D18" s="54">
        <f>'Misc Curr Schd w2016Loss &amp; DC'!D18+'Safety Curr Schedule w2016Loss '!D18</f>
        <v>305812360.50583494</v>
      </c>
      <c r="E18" s="63">
        <f t="shared" ref="E18:E32" si="6">E17-1</f>
        <v>15</v>
      </c>
      <c r="F18" s="56">
        <f t="shared" si="3"/>
        <v>28033676.978168327</v>
      </c>
      <c r="G18" s="54">
        <f>'Misc Curr Schd w2016Loss &amp; DC'!G18+'Safety Curr Schedule w2016Loss '!G18</f>
        <v>-76440967.71656543</v>
      </c>
      <c r="H18" s="63">
        <f t="shared" si="4"/>
        <v>27</v>
      </c>
      <c r="I18" s="56">
        <f t="shared" si="1"/>
        <v>-3901019.88018869</v>
      </c>
      <c r="J18" s="54">
        <f>'Misc Curr Schd w2016Loss &amp; DC'!J18+'Safety Curr Schedule w2016Loss '!J18</f>
        <v>31870837.863957487</v>
      </c>
      <c r="K18" s="63">
        <f t="shared" ref="K18:K45" si="7">K17-1</f>
        <v>28</v>
      </c>
      <c r="L18" s="56">
        <f t="shared" ref="L18:L45" si="8">L$16*MIN(K$5,K$16+1-K18)*(1+K$3)^(K$16-K18)*IF(K18&lt;K$5,K18/K$5,1)</f>
        <v>1220316.401421306</v>
      </c>
      <c r="M18" s="54">
        <f>'Misc Curr Schd w2016Loss &amp; DC'!M18+'Safety Curr Schedule w2016Loss '!M18</f>
        <v>48236321.896132961</v>
      </c>
      <c r="N18" s="63">
        <f>N17-1</f>
        <v>29</v>
      </c>
      <c r="O18" s="56">
        <f t="shared" ref="O18:O46" si="9">O$17*MIN(N$5,N$17+1-N18)*(1+N$3)^(N$17-N18)*IF(N18&lt;N$5,N18/N$5,1)</f>
        <v>1247140.511848293</v>
      </c>
      <c r="P18" s="54">
        <f>'Misc Curr Schd w2016Loss &amp; DC'!P18+'Safety Curr Schedule w2016Loss '!P18</f>
        <v>14531922.782482821</v>
      </c>
      <c r="Q18" s="63">
        <f>Q17-1</f>
        <v>19</v>
      </c>
      <c r="R18" s="55">
        <f t="shared" ref="R18:R36" si="10">R$17*MIN(Q$5,Q$17+1-Q18)*(1+Q$3)^(Q$17-Q18)*IF(Q18&lt;Q$5,Q18/Q$5,1)</f>
        <v>520029.01911967166</v>
      </c>
      <c r="S18" s="54">
        <f>'Misc Curr Schd w2016Loss &amp; DC'!S18+'Safety Curr Schedule w2016Loss '!S18</f>
        <v>13828972.376981251</v>
      </c>
      <c r="T18" s="63">
        <f>T17-1</f>
        <v>19</v>
      </c>
      <c r="U18" s="55">
        <f t="shared" ref="U18:U36" si="11">U$17*MIN(T$5,T$17+1-T18)*(1+T$3)^(T$17-T18)*IF(T18&lt;T$5,T18/T$5,1)</f>
        <v>504932.48697536014</v>
      </c>
      <c r="V18" s="54">
        <f>'Misc Curr Schd w2016Loss &amp; DC'!V18+'Safety Curr Schedule w2016Loss '!V18</f>
        <v>28613156.715</v>
      </c>
      <c r="W18" s="63">
        <f>W17-1</f>
        <v>19</v>
      </c>
      <c r="X18" s="55">
        <f t="shared" ref="X18:X36" si="12">X$17*MIN(W$5,W$17+1-W18)*(1+W$3)^(W$17-W18)*IF(W18&lt;W$5,W18/W$5,1)</f>
        <v>1003510.9194117165</v>
      </c>
      <c r="Y18" s="54">
        <f>'Misc Curr Schd w2016Loss &amp; DC'!Y18+'Safety Curr Schedule w2016Loss '!Y18</f>
        <v>366452604.42382401</v>
      </c>
      <c r="Z18" s="63">
        <f t="shared" ref="Z18:Z46" si="13">Z17-1</f>
        <v>28</v>
      </c>
      <c r="AA18" s="297">
        <f t="shared" ref="AA18:AA45" si="14">F18+I18+L18+O18+R18+U18+X18</f>
        <v>28628586.436755985</v>
      </c>
      <c r="AB18" s="63"/>
      <c r="AC18" s="142"/>
      <c r="AD18" s="111"/>
      <c r="AO18" s="216">
        <v>500000</v>
      </c>
    </row>
    <row r="19" spans="1:41" x14ac:dyDescent="0.25">
      <c r="A19" s="49">
        <f t="shared" si="5"/>
        <v>4</v>
      </c>
      <c r="B19" s="49">
        <f t="shared" si="2"/>
        <v>2020</v>
      </c>
      <c r="C19" s="49">
        <f t="shared" si="0"/>
        <v>2021</v>
      </c>
      <c r="D19" s="54">
        <f>'Misc Curr Schd w2016Loss &amp; DC'!D19+'Safety Curr Schedule w2016Loss '!D19</f>
        <v>298671710.54664272</v>
      </c>
      <c r="E19" s="63">
        <f t="shared" si="6"/>
        <v>14</v>
      </c>
      <c r="F19" s="56">
        <f t="shared" si="3"/>
        <v>28777310.937427677</v>
      </c>
      <c r="G19" s="54">
        <f>'Misc Curr Schd w2016Loss &amp; DC'!G19+'Safety Curr Schedule w2016Loss '!G19</f>
        <v>-77756589.11566709</v>
      </c>
      <c r="H19" s="63">
        <f t="shared" si="4"/>
        <v>26</v>
      </c>
      <c r="I19" s="56">
        <f t="shared" si="1"/>
        <v>-5022563.0957429381</v>
      </c>
      <c r="J19" s="54">
        <f>'Misc Curr Schd w2016Loss &amp; DC'!J19+'Safety Curr Schedule w2016Loss '!J19</f>
        <v>32839491.4134592</v>
      </c>
      <c r="K19" s="63">
        <f t="shared" si="7"/>
        <v>27</v>
      </c>
      <c r="L19" s="56">
        <f t="shared" si="8"/>
        <v>1675901.1912852603</v>
      </c>
      <c r="M19" s="54">
        <f>'Misc Curr Schd w2016Loss &amp; DC'!M19+'Safety Curr Schedule w2016Loss '!M19</f>
        <v>50322812.252307482</v>
      </c>
      <c r="N19" s="63">
        <f t="shared" ref="N19:N46" si="15">N18-1</f>
        <v>28</v>
      </c>
      <c r="O19" s="56">
        <f t="shared" si="9"/>
        <v>1926832.0908056125</v>
      </c>
      <c r="P19" s="54">
        <f>'Misc Curr Schd w2016Loss &amp; DC'!P19+'Safety Curr Schedule w2016Loss '!P19</f>
        <v>15011235.177140815</v>
      </c>
      <c r="Q19" s="63">
        <f t="shared" ref="Q19:Q36" si="16">Q18-1</f>
        <v>18</v>
      </c>
      <c r="R19" s="55">
        <f t="shared" si="10"/>
        <v>803444.83453989273</v>
      </c>
      <c r="S19" s="54">
        <f>'Misc Curr Schd w2016Loss &amp; DC'!S19+'Safety Curr Schedule w2016Loss '!S19</f>
        <v>14535803.429568682</v>
      </c>
      <c r="T19" s="63">
        <f t="shared" ref="T19:T36" si="17">T18-1</f>
        <v>18</v>
      </c>
      <c r="U19" s="55">
        <f t="shared" si="11"/>
        <v>780120.69237693131</v>
      </c>
      <c r="V19" s="54">
        <f>'Misc Curr Schd w2016Loss &amp; DC'!V19+'Safety Curr Schedule w2016Loss '!V19</f>
        <v>30626586.542062499</v>
      </c>
      <c r="W19" s="63">
        <f t="shared" ref="W19:W36" si="18">W18-1</f>
        <v>18</v>
      </c>
      <c r="X19" s="55">
        <f t="shared" si="12"/>
        <v>1550424.3704911019</v>
      </c>
      <c r="Y19" s="54">
        <f>'Misc Curr Schd w2016Loss &amp; DC'!Y19+'Safety Curr Schedule w2016Loss '!Y19</f>
        <v>364251050.24551433</v>
      </c>
      <c r="Z19" s="63">
        <f t="shared" si="13"/>
        <v>27</v>
      </c>
      <c r="AA19" s="297">
        <f t="shared" si="14"/>
        <v>30491471.021183539</v>
      </c>
      <c r="AB19" s="63"/>
      <c r="AC19" s="142"/>
      <c r="AD19" s="111"/>
      <c r="AO19" s="216">
        <v>500000</v>
      </c>
    </row>
    <row r="20" spans="1:41" x14ac:dyDescent="0.25">
      <c r="A20" s="49">
        <f t="shared" si="5"/>
        <v>5</v>
      </c>
      <c r="B20" s="49">
        <f t="shared" si="2"/>
        <v>2021</v>
      </c>
      <c r="C20" s="49">
        <f t="shared" si="0"/>
        <v>2022</v>
      </c>
      <c r="D20" s="54">
        <f>'Misc Curr Schd w2016Loss &amp; DC'!D20+'Safety Curr Schedule w2016Loss '!D20</f>
        <v>290679092.10373485</v>
      </c>
      <c r="E20" s="63">
        <f t="shared" si="6"/>
        <v>13</v>
      </c>
      <c r="F20" s="56">
        <f t="shared" si="3"/>
        <v>29584038.381402165</v>
      </c>
      <c r="G20" s="54">
        <f>'Misc Curr Schd w2016Loss &amp; DC'!G20+'Safety Curr Schedule w2016Loss '!G20</f>
        <v>-78004170.689651728</v>
      </c>
      <c r="H20" s="63">
        <f t="shared" si="4"/>
        <v>25</v>
      </c>
      <c r="I20" s="56">
        <f t="shared" si="1"/>
        <v>-5173239.988615226</v>
      </c>
      <c r="J20" s="54">
        <f>'Misc Curr Schd w2016Loss &amp; DC'!J20+'Safety Curr Schedule w2016Loss '!J20</f>
        <v>33404690.140395246</v>
      </c>
      <c r="K20" s="63">
        <f t="shared" si="7"/>
        <v>26</v>
      </c>
      <c r="L20" s="56">
        <f t="shared" si="8"/>
        <v>2157722.7837797725</v>
      </c>
      <c r="M20" s="54">
        <f>'Misc Curr Schd w2016Loss &amp; DC'!M20+'Safety Curr Schedule w2016Loss '!M20</f>
        <v>51852278.497191861</v>
      </c>
      <c r="N20" s="63">
        <f t="shared" si="15"/>
        <v>27</v>
      </c>
      <c r="O20" s="56">
        <f t="shared" si="9"/>
        <v>2646182.7380397078</v>
      </c>
      <c r="P20" s="54">
        <f>'Misc Curr Schd w2016Loss &amp; DC'!P20+'Safety Curr Schedule w2016Loss '!P20</f>
        <v>15230931.840361755</v>
      </c>
      <c r="Q20" s="63">
        <f t="shared" si="16"/>
        <v>17</v>
      </c>
      <c r="R20" s="55">
        <f t="shared" si="10"/>
        <v>1103397.5727681194</v>
      </c>
      <c r="S20" s="54">
        <f>'Misc Curr Schd w2016Loss &amp; DC'!S20+'Safety Curr Schedule w2016Loss '!S20</f>
        <v>15015243.8212079</v>
      </c>
      <c r="T20" s="63">
        <f t="shared" si="17"/>
        <v>17</v>
      </c>
      <c r="U20" s="55">
        <f t="shared" si="11"/>
        <v>1071365.7508643193</v>
      </c>
      <c r="V20" s="54">
        <f>'Misc Curr Schd w2016Loss &amp; DC'!V20+'Safety Curr Schedule w2016Loss '!V20</f>
        <v>32191982.857317243</v>
      </c>
      <c r="W20" s="63">
        <f t="shared" si="18"/>
        <v>17</v>
      </c>
      <c r="X20" s="55">
        <f t="shared" si="12"/>
        <v>2129249.4688077802</v>
      </c>
      <c r="Y20" s="54">
        <f>'Misc Curr Schd w2016Loss &amp; DC'!Y20+'Safety Curr Schedule w2016Loss '!Y20</f>
        <v>360370048.57055718</v>
      </c>
      <c r="Z20" s="63">
        <f t="shared" si="13"/>
        <v>26</v>
      </c>
      <c r="AA20" s="297">
        <f t="shared" si="14"/>
        <v>33518716.707046639</v>
      </c>
      <c r="AB20" s="63"/>
      <c r="AC20" s="142"/>
      <c r="AD20" s="111"/>
      <c r="AO20" s="216">
        <v>500000</v>
      </c>
    </row>
    <row r="21" spans="1:41" x14ac:dyDescent="0.25">
      <c r="A21" s="49">
        <f t="shared" si="5"/>
        <v>6</v>
      </c>
      <c r="B21" s="49">
        <f t="shared" si="2"/>
        <v>2022</v>
      </c>
      <c r="C21" s="49">
        <f t="shared" si="0"/>
        <v>2023</v>
      </c>
      <c r="D21" s="54">
        <f>'Misc Curr Schd w2016Loss &amp; DC'!D21+'Safety Curr Schedule w2016Loss '!D21</f>
        <v>281260001.22438818</v>
      </c>
      <c r="E21" s="63">
        <f t="shared" si="6"/>
        <v>12</v>
      </c>
      <c r="F21" s="56">
        <f t="shared" si="3"/>
        <v>30412451.837324608</v>
      </c>
      <c r="G21" s="54">
        <f>'Misc Curr Schd w2016Loss &amp; DC'!G21+'Safety Curr Schedule w2016Loss '!G21</f>
        <v>-78113221.583891928</v>
      </c>
      <c r="H21" s="63">
        <f t="shared" si="4"/>
        <v>24</v>
      </c>
      <c r="I21" s="56">
        <f t="shared" si="1"/>
        <v>-5328437.1882736832</v>
      </c>
      <c r="J21" s="54">
        <f>'Misc Curr Schd w2016Loss &amp; DC'!J21+'Safety Curr Schedule w2016Loss '!J21</f>
        <v>33511052.64751507</v>
      </c>
      <c r="K21" s="63">
        <f t="shared" si="7"/>
        <v>25</v>
      </c>
      <c r="L21" s="56">
        <f t="shared" si="8"/>
        <v>2222454.4672931656</v>
      </c>
      <c r="M21" s="54">
        <f>'Misc Curr Schd w2016Loss &amp; DC'!M21+'Safety Curr Schedule w2016Loss '!M21</f>
        <v>52744705.283781342</v>
      </c>
      <c r="N21" s="63">
        <f t="shared" si="15"/>
        <v>26</v>
      </c>
      <c r="O21" s="56">
        <f t="shared" si="9"/>
        <v>3406960.2752261236</v>
      </c>
      <c r="P21" s="54">
        <f>'Misc Curr Schd w2016Loss &amp; DC'!P21+'Safety Curr Schedule w2016Loss '!P21</f>
        <v>15155733.744981367</v>
      </c>
      <c r="Q21" s="63">
        <f t="shared" si="16"/>
        <v>16</v>
      </c>
      <c r="R21" s="55">
        <f t="shared" si="10"/>
        <v>1420624.3749389534</v>
      </c>
      <c r="S21" s="54">
        <f>'Misc Curr Schd w2016Loss &amp; DC'!S21+'Safety Curr Schedule w2016Loss '!S21</f>
        <v>15234999.152867192</v>
      </c>
      <c r="T21" s="63">
        <f t="shared" si="17"/>
        <v>16</v>
      </c>
      <c r="U21" s="55">
        <f t="shared" si="11"/>
        <v>1379383.4042378108</v>
      </c>
      <c r="V21" s="54">
        <f>'Misc Curr Schd w2016Loss &amp; DC'!V21+'Safety Curr Schedule w2016Loss '!V21</f>
        <v>33253784.287388809</v>
      </c>
      <c r="W21" s="63">
        <f t="shared" si="18"/>
        <v>16</v>
      </c>
      <c r="X21" s="55">
        <f t="shared" si="12"/>
        <v>2741408.6910900162</v>
      </c>
      <c r="Y21" s="54">
        <f>'Misc Curr Schd w2016Loss &amp; DC'!Y21+'Safety Curr Schedule w2016Loss '!Y21</f>
        <v>353047054.75703007</v>
      </c>
      <c r="Z21" s="63">
        <f t="shared" si="13"/>
        <v>25</v>
      </c>
      <c r="AA21" s="297">
        <f t="shared" si="14"/>
        <v>36254845.861836992</v>
      </c>
      <c r="AB21" s="63"/>
      <c r="AC21" s="142"/>
      <c r="AD21" s="111"/>
      <c r="AO21" s="216">
        <v>500000</v>
      </c>
    </row>
    <row r="22" spans="1:41" x14ac:dyDescent="0.25">
      <c r="A22" s="49">
        <f t="shared" si="5"/>
        <v>7</v>
      </c>
      <c r="B22" s="49">
        <f t="shared" si="2"/>
        <v>2023</v>
      </c>
      <c r="C22" s="49">
        <f t="shared" si="0"/>
        <v>2024</v>
      </c>
      <c r="D22" s="54">
        <f>'Misc Curr Schd w2016Loss &amp; DC'!D22+'Safety Curr Schedule w2016Loss '!D22</f>
        <v>270288575.16368902</v>
      </c>
      <c r="E22" s="63">
        <f t="shared" si="6"/>
        <v>11</v>
      </c>
      <c r="F22" s="56">
        <f t="shared" si="3"/>
        <v>31263103.315906614</v>
      </c>
      <c r="G22" s="54">
        <f>'Misc Curr Schd w2016Loss &amp; DC'!G22+'Safety Curr Schedule w2016Loss '!G22</f>
        <v>-78069368.80910787</v>
      </c>
      <c r="H22" s="63">
        <f t="shared" si="4"/>
        <v>23</v>
      </c>
      <c r="I22" s="56">
        <f t="shared" si="1"/>
        <v>-5488290.3039218932</v>
      </c>
      <c r="J22" s="54">
        <f>'Misc Curr Schd w2016Loss &amp; DC'!J22+'Safety Curr Schedule w2016Loss '!J22</f>
        <v>33557901.556052044</v>
      </c>
      <c r="K22" s="63">
        <f t="shared" si="7"/>
        <v>24</v>
      </c>
      <c r="L22" s="56">
        <f t="shared" si="8"/>
        <v>2289128.1013119607</v>
      </c>
      <c r="M22" s="54">
        <f>'Misc Curr Schd w2016Loss &amp; DC'!M22+'Safety Curr Schedule w2016Loss '!M22</f>
        <v>52912647.541820586</v>
      </c>
      <c r="N22" s="63">
        <f t="shared" si="15"/>
        <v>25</v>
      </c>
      <c r="O22" s="56">
        <f t="shared" si="9"/>
        <v>3509169.0834829072</v>
      </c>
      <c r="P22" s="54">
        <f>'Misc Curr Schd w2016Loss &amp; DC'!P22+'Safety Curr Schedule w2016Loss '!P22</f>
        <v>14747129.827215206</v>
      </c>
      <c r="Q22" s="63">
        <f t="shared" si="16"/>
        <v>15</v>
      </c>
      <c r="R22" s="55">
        <f t="shared" si="10"/>
        <v>1463243.1061871219</v>
      </c>
      <c r="S22" s="54">
        <f>'Misc Curr Schd w2016Loss &amp; DC'!S22+'Safety Curr Schedule w2016Loss '!S22</f>
        <v>15159780.97636787</v>
      </c>
      <c r="T22" s="63">
        <f t="shared" si="17"/>
        <v>15</v>
      </c>
      <c r="U22" s="55">
        <f t="shared" si="11"/>
        <v>1420764.906364945</v>
      </c>
      <c r="V22" s="54">
        <f>'Misc Curr Schd w2016Loss &amp; DC'!V22+'Safety Curr Schedule w2016Loss '!V22</f>
        <v>33740469.450947732</v>
      </c>
      <c r="W22" s="63">
        <f t="shared" si="18"/>
        <v>15</v>
      </c>
      <c r="X22" s="55">
        <f t="shared" si="12"/>
        <v>2823650.9518227167</v>
      </c>
      <c r="Y22" s="54">
        <f>'Misc Curr Schd w2016Loss &amp; DC'!Y22+'Safety Curr Schedule w2016Loss '!Y22</f>
        <v>342337135.70698458</v>
      </c>
      <c r="Z22" s="63">
        <f t="shared" si="13"/>
        <v>24</v>
      </c>
      <c r="AA22" s="297">
        <f t="shared" si="14"/>
        <v>37280769.161154374</v>
      </c>
      <c r="AB22" s="63"/>
      <c r="AC22" s="142"/>
      <c r="AD22" s="111"/>
      <c r="AO22" s="216">
        <v>500000</v>
      </c>
    </row>
    <row r="23" spans="1:41" x14ac:dyDescent="0.25">
      <c r="A23" s="49">
        <f t="shared" si="5"/>
        <v>8</v>
      </c>
      <c r="B23" s="49">
        <f t="shared" si="2"/>
        <v>2024</v>
      </c>
      <c r="C23" s="49">
        <f t="shared" si="0"/>
        <v>2025</v>
      </c>
      <c r="D23" s="54">
        <f>'Misc Curr Schd w2016Loss &amp; DC'!D23+'Safety Curr Schedule w2016Loss '!D23</f>
        <v>257629360.4943487</v>
      </c>
      <c r="E23" s="63">
        <f t="shared" si="6"/>
        <v>10</v>
      </c>
      <c r="F23" s="56">
        <f t="shared" si="3"/>
        <v>32136558.185828418</v>
      </c>
      <c r="G23" s="383">
        <f>'Misc Curr Schd w2016Loss &amp; DC'!G23+'Safety Curr Schedule w2016Loss '!G23</f>
        <v>-77857092.991519243</v>
      </c>
      <c r="H23" s="63">
        <f t="shared" si="4"/>
        <v>22</v>
      </c>
      <c r="I23" s="56">
        <f t="shared" si="1"/>
        <v>-5652939.0130395498</v>
      </c>
      <c r="J23" s="54">
        <f>'Misc Curr Schd w2016Loss &amp; DC'!J23+'Safety Curr Schedule w2016Loss '!J23</f>
        <v>33539062.144882932</v>
      </c>
      <c r="K23" s="63">
        <f t="shared" si="7"/>
        <v>23</v>
      </c>
      <c r="L23" s="56">
        <f t="shared" si="8"/>
        <v>2357801.9443513197</v>
      </c>
      <c r="M23" s="54">
        <f>'Misc Curr Schd w2016Loss &amp; DC'!M23+'Safety Curr Schedule w2016Loss '!M23</f>
        <v>52986620.144567803</v>
      </c>
      <c r="N23" s="63">
        <f t="shared" si="15"/>
        <v>24</v>
      </c>
      <c r="O23" s="56">
        <f t="shared" si="9"/>
        <v>3614444.155987395</v>
      </c>
      <c r="P23" s="54">
        <f>'Misc Curr Schd w2016Loss &amp; DC'!P23+'Safety Curr Schedule w2016Loss '!P23</f>
        <v>14265838.476807971</v>
      </c>
      <c r="Q23" s="63">
        <f t="shared" si="16"/>
        <v>14</v>
      </c>
      <c r="R23" s="55">
        <f t="shared" si="10"/>
        <v>1507140.3993727358</v>
      </c>
      <c r="S23" s="54">
        <f>'Misc Curr Schd w2016Loss &amp; DC'!S23+'Safety Curr Schedule w2016Loss '!S23</f>
        <v>14751067.943818588</v>
      </c>
      <c r="T23" s="63">
        <f t="shared" si="17"/>
        <v>14</v>
      </c>
      <c r="U23" s="55">
        <f t="shared" si="11"/>
        <v>1463387.8535558935</v>
      </c>
      <c r="V23" s="54">
        <f>'Misc Curr Schd w2016Loss &amp; DC'!V23+'Safety Curr Schedule w2016Loss '!V23</f>
        <v>33573886.140974022</v>
      </c>
      <c r="W23" s="63">
        <f t="shared" si="18"/>
        <v>14</v>
      </c>
      <c r="X23" s="55">
        <f t="shared" si="12"/>
        <v>2908360.4803773984</v>
      </c>
      <c r="Y23" s="54">
        <f>'Misc Curr Schd w2016Loss &amp; DC'!Y23+'Safety Curr Schedule w2016Loss '!Y23</f>
        <v>328888742.35388076</v>
      </c>
      <c r="Z23" s="63">
        <f t="shared" si="13"/>
        <v>23</v>
      </c>
      <c r="AA23" s="297">
        <f t="shared" si="14"/>
        <v>38334754.006433606</v>
      </c>
      <c r="AB23" s="63"/>
      <c r="AC23" s="142"/>
      <c r="AD23" s="111"/>
      <c r="AO23" s="216">
        <v>500000</v>
      </c>
    </row>
    <row r="24" spans="1:41" x14ac:dyDescent="0.25">
      <c r="A24" s="49">
        <f t="shared" si="5"/>
        <v>9</v>
      </c>
      <c r="B24" s="49">
        <f t="shared" si="2"/>
        <v>2025</v>
      </c>
      <c r="C24" s="49">
        <f t="shared" si="0"/>
        <v>2026</v>
      </c>
      <c r="D24" s="54">
        <f>'Misc Curr Schd w2016Loss &amp; DC'!D24+'Safety Curr Schedule w2016Loss '!D24</f>
        <v>243136618.35023063</v>
      </c>
      <c r="E24" s="63">
        <f t="shared" si="6"/>
        <v>9</v>
      </c>
      <c r="F24" s="56">
        <f t="shared" si="3"/>
        <v>33033395.498061351</v>
      </c>
      <c r="G24" s="383">
        <f>'Misc Curr Schd w2016Loss &amp; DC'!G24+'Safety Curr Schedule w2016Loss '!G24</f>
        <v>-77459643.917672619</v>
      </c>
      <c r="H24" s="63">
        <f t="shared" si="4"/>
        <v>21</v>
      </c>
      <c r="I24" s="56">
        <f t="shared" si="1"/>
        <v>-5822527.1834307369</v>
      </c>
      <c r="J24" s="54">
        <f>'Misc Curr Schd w2016Loss &amp; DC'!J24+'Safety Curr Schedule w2016Loss '!J24</f>
        <v>33447867.199329197</v>
      </c>
      <c r="K24" s="63">
        <f t="shared" si="7"/>
        <v>22</v>
      </c>
      <c r="L24" s="56">
        <f t="shared" si="8"/>
        <v>2428536.0026818588</v>
      </c>
      <c r="M24" s="54">
        <f>'Misc Curr Schd w2016Loss &amp; DC'!M24+'Safety Curr Schedule w2016Loss '!M24</f>
        <v>52956873.447751924</v>
      </c>
      <c r="N24" s="63">
        <f t="shared" si="15"/>
        <v>23</v>
      </c>
      <c r="O24" s="56">
        <f t="shared" si="9"/>
        <v>3722877.4806670169</v>
      </c>
      <c r="P24" s="54">
        <f>'Misc Curr Schd w2016Loss &amp; DC'!P24+'Safety Curr Schedule w2016Loss '!P24</f>
        <v>13705449.018722858</v>
      </c>
      <c r="Q24" s="63">
        <f t="shared" si="16"/>
        <v>13</v>
      </c>
      <c r="R24" s="55">
        <f t="shared" si="10"/>
        <v>1552354.611353918</v>
      </c>
      <c r="S24" s="54">
        <f>'Misc Curr Schd w2016Loss &amp; DC'!S24+'Safety Curr Schedule w2016Loss '!S24</f>
        <v>14269648.067964006</v>
      </c>
      <c r="T24" s="63">
        <f t="shared" si="17"/>
        <v>13</v>
      </c>
      <c r="U24" s="55">
        <f t="shared" si="11"/>
        <v>1507289.4891625703</v>
      </c>
      <c r="V24" s="54">
        <f>'Misc Curr Schd w2016Loss &amp; DC'!V24+'Safety Curr Schedule w2016Loss '!V24</f>
        <v>32668722.349984378</v>
      </c>
      <c r="W24" s="63">
        <f t="shared" si="18"/>
        <v>13</v>
      </c>
      <c r="X24" s="55">
        <f t="shared" si="12"/>
        <v>2995611.2947887206</v>
      </c>
      <c r="Y24" s="54">
        <f>'Misc Curr Schd w2016Loss &amp; DC'!Y24+'Safety Curr Schedule w2016Loss '!Y24</f>
        <v>312725534.51631033</v>
      </c>
      <c r="Z24" s="63">
        <f t="shared" si="13"/>
        <v>22</v>
      </c>
      <c r="AA24" s="297">
        <f t="shared" si="14"/>
        <v>39417537.193284698</v>
      </c>
      <c r="AB24" s="63"/>
      <c r="AC24" s="142"/>
      <c r="AD24" s="111"/>
      <c r="AO24" s="216">
        <v>500000</v>
      </c>
    </row>
    <row r="25" spans="1:41" x14ac:dyDescent="0.25">
      <c r="A25" s="49">
        <f t="shared" si="5"/>
        <v>10</v>
      </c>
      <c r="B25" s="49">
        <f t="shared" si="2"/>
        <v>2026</v>
      </c>
      <c r="C25" s="49">
        <f t="shared" si="0"/>
        <v>2027</v>
      </c>
      <c r="D25" s="54">
        <f>'Misc Curr Schd w2016Loss &amp; DC'!D25+'Safety Curr Schedule w2016Loss '!D25</f>
        <v>226653580.33466259</v>
      </c>
      <c r="E25" s="63">
        <f t="shared" si="6"/>
        <v>8</v>
      </c>
      <c r="F25" s="56">
        <f t="shared" si="3"/>
        <v>33954208.318918519</v>
      </c>
      <c r="G25" s="54">
        <f>'Misc Curr Schd w2016Loss &amp; DC'!G25+'Safety Curr Schedule w2016Loss '!G25</f>
        <v>-76858950.041159153</v>
      </c>
      <c r="H25" s="63">
        <f t="shared" si="4"/>
        <v>20</v>
      </c>
      <c r="I25" s="56">
        <f t="shared" si="1"/>
        <v>-5997202.9989336589</v>
      </c>
      <c r="J25" s="54">
        <f>'Misc Curr Schd w2016Loss &amp; DC'!J25+'Safety Curr Schedule w2016Loss '!J25</f>
        <v>33277120.728715837</v>
      </c>
      <c r="K25" s="63">
        <f t="shared" si="7"/>
        <v>21</v>
      </c>
      <c r="L25" s="56">
        <f t="shared" si="8"/>
        <v>2501392.0827623149</v>
      </c>
      <c r="M25" s="54">
        <f>'Misc Curr Schd w2016Loss &amp; DC'!M25+'Safety Curr Schedule w2016Loss '!M25</f>
        <v>52812880.178950854</v>
      </c>
      <c r="N25" s="63">
        <f t="shared" si="15"/>
        <v>22</v>
      </c>
      <c r="O25" s="56">
        <f t="shared" si="9"/>
        <v>3834563.8050870267</v>
      </c>
      <c r="P25" s="54">
        <f>'Misc Curr Schd w2016Loss &amp; DC'!P25+'Safety Curr Schedule w2016Loss '!P25</f>
        <v>13059062.354027936</v>
      </c>
      <c r="Q25" s="63">
        <f t="shared" si="16"/>
        <v>12</v>
      </c>
      <c r="R25" s="55">
        <f t="shared" si="10"/>
        <v>1598925.2496945353</v>
      </c>
      <c r="S25" s="54">
        <f>'Misc Curr Schd w2016Loss &amp; DC'!S25+'Safety Curr Schedule w2016Loss '!S25</f>
        <v>13709108.961841948</v>
      </c>
      <c r="T25" s="63">
        <f t="shared" si="17"/>
        <v>12</v>
      </c>
      <c r="U25" s="55">
        <f t="shared" si="11"/>
        <v>1552508.1738374473</v>
      </c>
      <c r="V25" s="54">
        <f>'Misc Curr Schd w2016Loss &amp; DC'!V25+'Safety Curr Schedule w2016Loss '!V25</f>
        <v>31602537.018999726</v>
      </c>
      <c r="W25" s="63">
        <f t="shared" si="18"/>
        <v>12</v>
      </c>
      <c r="X25" s="55">
        <f t="shared" si="12"/>
        <v>3085479.6336323814</v>
      </c>
      <c r="Y25" s="54">
        <f>'Misc Curr Schd w2016Loss &amp; DC'!Y25+'Safety Curr Schedule w2016Loss '!Y25</f>
        <v>294255339.53603971</v>
      </c>
      <c r="Z25" s="63">
        <f t="shared" si="13"/>
        <v>21</v>
      </c>
      <c r="AA25" s="297">
        <f t="shared" si="14"/>
        <v>40529874.26499857</v>
      </c>
      <c r="AB25" s="63"/>
      <c r="AC25" s="142"/>
      <c r="AD25" s="111"/>
      <c r="AO25" s="216">
        <v>500000</v>
      </c>
    </row>
    <row r="26" spans="1:41" x14ac:dyDescent="0.25">
      <c r="A26" s="49">
        <f t="shared" si="5"/>
        <v>11</v>
      </c>
      <c r="B26" s="49">
        <f t="shared" si="2"/>
        <v>2027</v>
      </c>
      <c r="C26" s="49">
        <f t="shared" si="0"/>
        <v>2028</v>
      </c>
      <c r="D26" s="54">
        <f>'Misc Curr Schd w2016Loss &amp; DC'!D26+'Safety Curr Schedule w2016Loss '!D26</f>
        <v>208011651.61900228</v>
      </c>
      <c r="E26" s="63">
        <f t="shared" si="6"/>
        <v>7</v>
      </c>
      <c r="F26" s="56">
        <f t="shared" si="3"/>
        <v>34899604.072083265</v>
      </c>
      <c r="G26" s="54">
        <f>'Misc Curr Schd w2016Loss &amp; DC'!G26+'Safety Curr Schedule w2016Loss '!G26</f>
        <v>-76035521.52476722</v>
      </c>
      <c r="H26" s="63">
        <f t="shared" si="4"/>
        <v>19</v>
      </c>
      <c r="I26" s="56">
        <f t="shared" si="1"/>
        <v>-6177119.0889016688</v>
      </c>
      <c r="J26" s="54">
        <f>'Misc Curr Schd w2016Loss &amp; DC'!J26+'Safety Curr Schedule w2016Loss '!J26</f>
        <v>33019059.089922547</v>
      </c>
      <c r="K26" s="63">
        <f t="shared" si="7"/>
        <v>20</v>
      </c>
      <c r="L26" s="56">
        <f t="shared" si="8"/>
        <v>2576433.8452451844</v>
      </c>
      <c r="M26" s="54">
        <f>'Misc Curr Schd w2016Loss &amp; DC'!M26+'Safety Curr Schedule w2016Loss '!M26</f>
        <v>52543278.149029411</v>
      </c>
      <c r="N26" s="63">
        <f t="shared" si="15"/>
        <v>21</v>
      </c>
      <c r="O26" s="56">
        <f t="shared" si="9"/>
        <v>3949600.7192396377</v>
      </c>
      <c r="P26" s="54">
        <f>'Misc Curr Schd w2016Loss &amp; DC'!P26+'Safety Curr Schedule w2016Loss '!P26</f>
        <v>12319255.579924205</v>
      </c>
      <c r="Q26" s="63">
        <f t="shared" si="16"/>
        <v>11</v>
      </c>
      <c r="R26" s="55">
        <f t="shared" si="10"/>
        <v>1646893.0071853714</v>
      </c>
      <c r="S26" s="54">
        <f>'Misc Curr Schd w2016Loss &amp; DC'!S26+'Safety Curr Schedule w2016Loss '!S26</f>
        <v>13062549.684164956</v>
      </c>
      <c r="T26" s="63">
        <f t="shared" si="17"/>
        <v>11</v>
      </c>
      <c r="U26" s="55">
        <f t="shared" si="11"/>
        <v>1599083.4190525708</v>
      </c>
      <c r="V26" s="54">
        <f>'Misc Curr Schd w2016Loss &amp; DC'!V26+'Safety Curr Schedule w2016Loss '!V26</f>
        <v>30361128.837981634</v>
      </c>
      <c r="W26" s="63">
        <f t="shared" si="18"/>
        <v>11</v>
      </c>
      <c r="X26" s="55">
        <f t="shared" si="12"/>
        <v>3178044.0226413533</v>
      </c>
      <c r="Y26" s="54">
        <f>'Misc Curr Schd w2016Loss &amp; DC'!Y26+'Safety Curr Schedule w2016Loss '!Y26</f>
        <v>273281401.43525779</v>
      </c>
      <c r="Z26" s="63">
        <f t="shared" si="13"/>
        <v>20</v>
      </c>
      <c r="AA26" s="297">
        <f t="shared" si="14"/>
        <v>41672539.99654571</v>
      </c>
      <c r="AB26" s="63"/>
      <c r="AC26" s="142"/>
      <c r="AD26" s="111"/>
      <c r="AO26" s="216">
        <v>500000</v>
      </c>
    </row>
    <row r="27" spans="1:41" x14ac:dyDescent="0.25">
      <c r="A27" s="49">
        <f t="shared" si="5"/>
        <v>12</v>
      </c>
      <c r="B27" s="49">
        <f t="shared" si="2"/>
        <v>2028</v>
      </c>
      <c r="C27" s="49">
        <f t="shared" si="0"/>
        <v>2029</v>
      </c>
      <c r="D27" s="54">
        <f>'Misc Curr Schd w2016Loss &amp; DC'!D27+'Safety Curr Schedule w2016Loss '!D27</f>
        <v>187029557.51307315</v>
      </c>
      <c r="E27" s="63">
        <f t="shared" si="6"/>
        <v>6</v>
      </c>
      <c r="F27" s="56">
        <f t="shared" si="3"/>
        <v>35870204.88987083</v>
      </c>
      <c r="G27" s="54">
        <f>'Misc Curr Schd w2016Loss &amp; DC'!G27+'Safety Curr Schedule w2016Loss '!G27</f>
        <v>-74968346.361649647</v>
      </c>
      <c r="H27" s="63">
        <f t="shared" si="4"/>
        <v>18</v>
      </c>
      <c r="I27" s="56">
        <f t="shared" si="1"/>
        <v>-6362432.661568718</v>
      </c>
      <c r="J27" s="54">
        <f>'Misc Curr Schd w2016Loss &amp; DC'!J27+'Safety Curr Schedule w2016Loss '!J27</f>
        <v>32665309.333719626</v>
      </c>
      <c r="K27" s="63">
        <f t="shared" si="7"/>
        <v>19</v>
      </c>
      <c r="L27" s="56">
        <f t="shared" si="8"/>
        <v>2653726.86060254</v>
      </c>
      <c r="M27" s="54">
        <f>'Misc Curr Schd w2016Loss &amp; DC'!M27+'Safety Curr Schedule w2016Loss '!M27</f>
        <v>52135808.86774002</v>
      </c>
      <c r="N27" s="63">
        <f t="shared" si="15"/>
        <v>20</v>
      </c>
      <c r="O27" s="56">
        <f t="shared" si="9"/>
        <v>4068088.7408168269</v>
      </c>
      <c r="P27" s="54">
        <f>'Misc Curr Schd w2016Loss &amp; DC'!P27+'Safety Curr Schedule w2016Loss '!P27</f>
        <v>11478044.097466642</v>
      </c>
      <c r="Q27" s="63">
        <f t="shared" si="16"/>
        <v>10</v>
      </c>
      <c r="R27" s="55">
        <f t="shared" si="10"/>
        <v>1696299.7974009325</v>
      </c>
      <c r="S27" s="54">
        <f>'Misc Curr Schd w2016Loss &amp; DC'!S27+'Safety Curr Schedule w2016Loss '!S27</f>
        <v>12322545.3499004</v>
      </c>
      <c r="T27" s="63">
        <f t="shared" si="17"/>
        <v>10</v>
      </c>
      <c r="U27" s="55">
        <f t="shared" si="11"/>
        <v>1647055.921624148</v>
      </c>
      <c r="V27" s="54">
        <f>'Misc Curr Schd w2016Loss &amp; DC'!V27+'Safety Curr Schedule w2016Loss '!V27</f>
        <v>28929214.511121839</v>
      </c>
      <c r="W27" s="63">
        <f t="shared" si="18"/>
        <v>10</v>
      </c>
      <c r="X27" s="55">
        <f t="shared" si="12"/>
        <v>3273385.3433205937</v>
      </c>
      <c r="Y27" s="54">
        <f>'Misc Curr Schd w2016Loss &amp; DC'!Y27+'Safety Curr Schedule w2016Loss '!Y27</f>
        <v>249592133.31137201</v>
      </c>
      <c r="Z27" s="63">
        <f t="shared" si="13"/>
        <v>19</v>
      </c>
      <c r="AA27" s="297">
        <f t="shared" si="14"/>
        <v>42846328.892067149</v>
      </c>
      <c r="AB27" s="63"/>
      <c r="AC27" s="142"/>
      <c r="AD27" s="111"/>
      <c r="AO27" s="216">
        <v>500000</v>
      </c>
    </row>
    <row r="28" spans="1:41" s="50" customFormat="1" x14ac:dyDescent="0.25">
      <c r="A28" s="49">
        <f t="shared" si="5"/>
        <v>13</v>
      </c>
      <c r="B28" s="49">
        <f t="shared" si="2"/>
        <v>2029</v>
      </c>
      <c r="C28" s="49">
        <f t="shared" si="0"/>
        <v>2030</v>
      </c>
      <c r="D28" s="54">
        <f>'Misc Curr Schd w2016Loss &amp; DC'!D28+'Safety Curr Schedule w2016Loss '!D28</f>
        <v>163512429.52815115</v>
      </c>
      <c r="E28" s="63">
        <f t="shared" si="6"/>
        <v>5</v>
      </c>
      <c r="F28" s="56">
        <f t="shared" si="3"/>
        <v>36866647.973983519</v>
      </c>
      <c r="G28" s="54">
        <f>'Misc Curr Schd w2016Loss &amp; DC'!G28+'Safety Curr Schedule w2016Loss '!G28</f>
        <v>-73634779.087018326</v>
      </c>
      <c r="H28" s="63">
        <f t="shared" si="4"/>
        <v>17</v>
      </c>
      <c r="I28" s="56">
        <f t="shared" si="1"/>
        <v>-6553305.6414157785</v>
      </c>
      <c r="J28" s="54">
        <f>'Misc Curr Schd w2016Loss &amp; DC'!J28+'Safety Curr Schedule w2016Loss '!J28</f>
        <v>32206844.577807579</v>
      </c>
      <c r="K28" s="63">
        <f t="shared" si="7"/>
        <v>18</v>
      </c>
      <c r="L28" s="56">
        <f t="shared" si="8"/>
        <v>2733338.6664206157</v>
      </c>
      <c r="M28" s="54">
        <f>'Misc Curr Schd w2016Loss &amp; DC'!M28+'Safety Curr Schedule w2016Loss '!M28</f>
        <v>51577251.774208732</v>
      </c>
      <c r="N28" s="63">
        <f t="shared" si="15"/>
        <v>19</v>
      </c>
      <c r="O28" s="56">
        <f t="shared" si="9"/>
        <v>4190131.403041332</v>
      </c>
      <c r="P28" s="54">
        <f>'Misc Curr Schd w2016Loss &amp; DC'!P28+'Safety Curr Schedule w2016Loss '!P28</f>
        <v>10526841.030045483</v>
      </c>
      <c r="Q28" s="63">
        <f t="shared" si="16"/>
        <v>9</v>
      </c>
      <c r="R28" s="55">
        <f t="shared" si="10"/>
        <v>1747188.7913229605</v>
      </c>
      <c r="S28" s="54">
        <f>'Misc Curr Schd w2016Loss &amp; DC'!S28+'Safety Curr Schedule w2016Loss '!S28</f>
        <v>11481109.22787264</v>
      </c>
      <c r="T28" s="63">
        <f t="shared" si="17"/>
        <v>9</v>
      </c>
      <c r="U28" s="55">
        <f t="shared" si="11"/>
        <v>1696467.5992728723</v>
      </c>
      <c r="V28" s="54">
        <f>'Misc Curr Schd w2016Loss &amp; DC'!V28+'Safety Curr Schedule w2016Loss '!V28</f>
        <v>27290350.381016307</v>
      </c>
      <c r="W28" s="63">
        <f t="shared" si="18"/>
        <v>9</v>
      </c>
      <c r="X28" s="55">
        <f t="shared" si="12"/>
        <v>3371586.9036202119</v>
      </c>
      <c r="Y28" s="54">
        <f>'Misc Curr Schd w2016Loss &amp; DC'!Y28+'Safety Curr Schedule w2016Loss '!Y28</f>
        <v>222960047.43208358</v>
      </c>
      <c r="Z28" s="63">
        <f t="shared" si="13"/>
        <v>18</v>
      </c>
      <c r="AA28" s="297">
        <f t="shared" si="14"/>
        <v>44052055.69624573</v>
      </c>
      <c r="AB28" s="63"/>
      <c r="AC28" s="142"/>
      <c r="AD28" s="111"/>
      <c r="AF28" s="49"/>
      <c r="AO28" s="216">
        <v>500000</v>
      </c>
    </row>
    <row r="29" spans="1:41" s="50" customFormat="1" x14ac:dyDescent="0.25">
      <c r="A29" s="49">
        <f t="shared" si="5"/>
        <v>14</v>
      </c>
      <c r="B29" s="49">
        <f t="shared" si="2"/>
        <v>2030</v>
      </c>
      <c r="C29" s="49">
        <f t="shared" si="0"/>
        <v>2031</v>
      </c>
      <c r="D29" s="54">
        <f>'Misc Curr Schd w2016Loss &amp; DC'!D29+'Safety Curr Schedule w2016Loss '!D29</f>
        <v>137250826.67395949</v>
      </c>
      <c r="E29" s="63">
        <f t="shared" si="6"/>
        <v>4</v>
      </c>
      <c r="F29" s="56">
        <f t="shared" si="3"/>
        <v>37889585.966024958</v>
      </c>
      <c r="G29" s="54">
        <f>'Misc Curr Schd w2016Loss &amp; DC'!G29+'Safety Curr Schedule w2016Loss '!G29</f>
        <v>-72010421.557564408</v>
      </c>
      <c r="H29" s="63">
        <f t="shared" si="4"/>
        <v>16</v>
      </c>
      <c r="I29" s="56">
        <f t="shared" si="1"/>
        <v>-6749904.8106582528</v>
      </c>
      <c r="J29" s="54">
        <f>'Misc Curr Schd w2016Loss &amp; DC'!J29+'Safety Curr Schedule w2016Loss '!J29</f>
        <v>31633936.196703512</v>
      </c>
      <c r="K29" s="63">
        <f t="shared" si="7"/>
        <v>17</v>
      </c>
      <c r="L29" s="56">
        <f t="shared" si="8"/>
        <v>2815338.8264132342</v>
      </c>
      <c r="M29" s="54">
        <f>'Misc Curr Schd w2016Loss &amp; DC'!M29+'Safety Curr Schedule w2016Loss '!M29</f>
        <v>50853353.772702053</v>
      </c>
      <c r="N29" s="63">
        <f t="shared" si="15"/>
        <v>18</v>
      </c>
      <c r="O29" s="56">
        <f t="shared" si="9"/>
        <v>4315835.3451325716</v>
      </c>
      <c r="P29" s="54">
        <f>'Misc Curr Schd w2016Loss &amp; DC'!P29+'Safety Curr Schedule w2016Loss '!P29</f>
        <v>9456413.7632775269</v>
      </c>
      <c r="Q29" s="63">
        <f t="shared" si="16"/>
        <v>8</v>
      </c>
      <c r="R29" s="55">
        <f t="shared" si="10"/>
        <v>1799604.455062649</v>
      </c>
      <c r="S29" s="54">
        <f>'Misc Curr Schd w2016Loss &amp; DC'!S29+'Safety Curr Schedule w2016Loss '!S29</f>
        <v>10529652.148407314</v>
      </c>
      <c r="T29" s="63">
        <f t="shared" si="17"/>
        <v>8</v>
      </c>
      <c r="U29" s="55">
        <f t="shared" si="11"/>
        <v>1747361.6272510584</v>
      </c>
      <c r="V29" s="54">
        <f>'Misc Curr Schd w2016Loss &amp; DC'!V29+'Safety Curr Schedule w2016Loss '!V29</f>
        <v>25426848.487426866</v>
      </c>
      <c r="W29" s="63">
        <f t="shared" si="18"/>
        <v>8</v>
      </c>
      <c r="X29" s="55">
        <f t="shared" si="12"/>
        <v>3472734.5107288174</v>
      </c>
      <c r="Y29" s="54">
        <f>'Misc Curr Schd w2016Loss &amp; DC'!Y29+'Safety Curr Schedule w2016Loss '!Y29</f>
        <v>193140609.48491237</v>
      </c>
      <c r="Z29" s="63">
        <f t="shared" si="13"/>
        <v>17</v>
      </c>
      <c r="AA29" s="297">
        <f t="shared" si="14"/>
        <v>45290555.919955045</v>
      </c>
      <c r="AB29" s="63"/>
      <c r="AC29" s="142"/>
      <c r="AD29" s="111"/>
      <c r="AF29" s="49"/>
      <c r="AO29" s="216">
        <v>500000</v>
      </c>
    </row>
    <row r="30" spans="1:41" s="50" customFormat="1" x14ac:dyDescent="0.25">
      <c r="A30" s="49">
        <f t="shared" si="5"/>
        <v>15</v>
      </c>
      <c r="B30" s="49">
        <f t="shared" si="2"/>
        <v>2031</v>
      </c>
      <c r="C30" s="49">
        <f t="shared" si="0"/>
        <v>2032</v>
      </c>
      <c r="D30" s="54">
        <f>'Misc Curr Schd w2016Loss &amp; DC'!D30+'Safety Curr Schedule w2016Loss '!D30</f>
        <v>108019687.43233961</v>
      </c>
      <c r="E30" s="63">
        <f t="shared" si="6"/>
        <v>3</v>
      </c>
      <c r="F30" s="56">
        <f t="shared" si="3"/>
        <v>38939687.328045033</v>
      </c>
      <c r="G30" s="54">
        <f>'Misc Curr Schd w2016Loss &amp; DC'!G30+'Safety Curr Schedule w2016Loss '!G30</f>
        <v>-70068995.239082336</v>
      </c>
      <c r="H30" s="63">
        <f t="shared" si="4"/>
        <v>15</v>
      </c>
      <c r="I30" s="56">
        <f t="shared" si="1"/>
        <v>-6952401.9549780013</v>
      </c>
      <c r="J30" s="54">
        <f>'Misc Curr Schd w2016Loss &amp; DC'!J30+'Safety Curr Schedule w2016Loss '!J30</f>
        <v>30936102.603875645</v>
      </c>
      <c r="K30" s="63">
        <f t="shared" si="7"/>
        <v>16</v>
      </c>
      <c r="L30" s="56">
        <f t="shared" si="8"/>
        <v>2899798.9912056313</v>
      </c>
      <c r="M30" s="54">
        <f>'Misc Curr Schd w2016Loss &amp; DC'!M30+'Safety Curr Schedule w2016Loss '!M30</f>
        <v>49948753.742318884</v>
      </c>
      <c r="N30" s="63">
        <f t="shared" si="15"/>
        <v>17</v>
      </c>
      <c r="O30" s="56">
        <f t="shared" si="9"/>
        <v>4445310.4054865483</v>
      </c>
      <c r="P30" s="54">
        <f>'Misc Curr Schd w2016Loss &amp; DC'!P30+'Safety Curr Schedule w2016Loss '!P30</f>
        <v>8256837.4036696795</v>
      </c>
      <c r="Q30" s="63">
        <f t="shared" si="16"/>
        <v>7</v>
      </c>
      <c r="R30" s="55">
        <f t="shared" si="10"/>
        <v>1853592.5887145284</v>
      </c>
      <c r="S30" s="54">
        <f>'Misc Curr Schd w2016Loss &amp; DC'!S30+'Safety Curr Schedule w2016Loss '!S30</f>
        <v>9458939.0316169243</v>
      </c>
      <c r="T30" s="63">
        <f t="shared" si="17"/>
        <v>7</v>
      </c>
      <c r="U30" s="55">
        <f t="shared" si="11"/>
        <v>1799782.4760685901</v>
      </c>
      <c r="V30" s="54">
        <f>'Misc Curr Schd w2016Loss &amp; DC'!V30+'Safety Curr Schedule w2016Loss '!V30</f>
        <v>23319686.668678343</v>
      </c>
      <c r="W30" s="63">
        <f t="shared" si="18"/>
        <v>7</v>
      </c>
      <c r="X30" s="55">
        <f t="shared" si="12"/>
        <v>3576916.5460506817</v>
      </c>
      <c r="Y30" s="54">
        <f>'Misc Curr Schd w2016Loss &amp; DC'!Y30+'Safety Curr Schedule w2016Loss '!Y30</f>
        <v>159871011.6434167</v>
      </c>
      <c r="Z30" s="63">
        <f t="shared" si="13"/>
        <v>16</v>
      </c>
      <c r="AA30" s="297">
        <f t="shared" si="14"/>
        <v>46562686.380593009</v>
      </c>
      <c r="AB30" s="63"/>
      <c r="AC30" s="142"/>
      <c r="AD30" s="111"/>
      <c r="AF30" s="49"/>
      <c r="AO30" s="216">
        <v>500000</v>
      </c>
    </row>
    <row r="31" spans="1:41" s="50" customFormat="1" x14ac:dyDescent="0.25">
      <c r="A31" s="49">
        <f t="shared" si="5"/>
        <v>16</v>
      </c>
      <c r="B31" s="49">
        <f t="shared" si="2"/>
        <v>2032</v>
      </c>
      <c r="C31" s="49">
        <f t="shared" si="0"/>
        <v>2033</v>
      </c>
      <c r="D31" s="54">
        <f>'Misc Curr Schd w2016Loss &amp; DC'!D31+'Safety Curr Schedule w2016Loss '!D31</f>
        <v>75577207.530542359</v>
      </c>
      <c r="E31" s="63">
        <f t="shared" si="6"/>
        <v>2</v>
      </c>
      <c r="F31" s="56">
        <f t="shared" si="3"/>
        <v>40017636.733391263</v>
      </c>
      <c r="G31" s="54">
        <f>'Misc Curr Schd w2016Loss &amp; DC'!G31+'Safety Curr Schedule w2016Loss '!G31</f>
        <v>-67782204.4034812</v>
      </c>
      <c r="H31" s="63">
        <f t="shared" si="4"/>
        <v>14</v>
      </c>
      <c r="I31" s="56">
        <f t="shared" si="1"/>
        <v>-7160974.0136273401</v>
      </c>
      <c r="J31" s="54">
        <f>'Misc Curr Schd w2016Loss &amp; DC'!J31+'Safety Curr Schedule w2016Loss '!J31</f>
        <v>30102054.385751911</v>
      </c>
      <c r="K31" s="63">
        <f t="shared" si="7"/>
        <v>15</v>
      </c>
      <c r="L31" s="56">
        <f t="shared" si="8"/>
        <v>2986792.9609418004</v>
      </c>
      <c r="M31" s="54">
        <f>'Misc Curr Schd w2016Loss &amp; DC'!M31+'Safety Curr Schedule w2016Loss '!M31</f>
        <v>48846901.665974706</v>
      </c>
      <c r="N31" s="63">
        <f t="shared" si="15"/>
        <v>16</v>
      </c>
      <c r="O31" s="56">
        <f t="shared" si="9"/>
        <v>4578669.7176511455</v>
      </c>
      <c r="P31" s="54">
        <f>'Misc Curr Schd w2016Loss &amp; DC'!P31+'Safety Curr Schedule w2016Loss '!P31</f>
        <v>6917444.9391981661</v>
      </c>
      <c r="Q31" s="63">
        <f t="shared" si="16"/>
        <v>6</v>
      </c>
      <c r="R31" s="55">
        <f t="shared" si="10"/>
        <v>1909200.3663759646</v>
      </c>
      <c r="S31" s="54">
        <f>'Misc Curr Schd w2016Loss &amp; DC'!S31+'Safety Curr Schedule w2016Loss '!S31</f>
        <v>8259042.3336358387</v>
      </c>
      <c r="T31" s="63">
        <f t="shared" si="17"/>
        <v>6</v>
      </c>
      <c r="U31" s="55">
        <f t="shared" si="11"/>
        <v>1853775.950350648</v>
      </c>
      <c r="V31" s="54">
        <f>'Misc Curr Schd w2016Loss &amp; DC'!V31+'Safety Curr Schedule w2016Loss '!V31</f>
        <v>20948412.286231376</v>
      </c>
      <c r="W31" s="63">
        <f t="shared" si="18"/>
        <v>6</v>
      </c>
      <c r="X31" s="55">
        <f t="shared" si="12"/>
        <v>3684224.042432203</v>
      </c>
      <c r="Y31" s="54">
        <f>'Misc Curr Schd w2016Loss &amp; DC'!Y31+'Safety Curr Schedule w2016Loss '!Y31</f>
        <v>122868858.73785317</v>
      </c>
      <c r="Z31" s="63">
        <f t="shared" si="13"/>
        <v>15</v>
      </c>
      <c r="AA31" s="297">
        <f t="shared" si="14"/>
        <v>47869325.757515691</v>
      </c>
      <c r="AB31" s="63"/>
      <c r="AC31" s="142"/>
      <c r="AD31" s="111"/>
      <c r="AF31" s="49"/>
      <c r="AO31" s="216">
        <v>500000</v>
      </c>
    </row>
    <row r="32" spans="1:41" s="50" customFormat="1" x14ac:dyDescent="0.25">
      <c r="A32" s="49">
        <f t="shared" si="5"/>
        <v>17</v>
      </c>
      <c r="B32" s="49">
        <f t="shared" si="2"/>
        <v>2033</v>
      </c>
      <c r="C32" s="49">
        <f t="shared" si="0"/>
        <v>2034</v>
      </c>
      <c r="D32" s="54">
        <f>'Misc Curr Schd w2016Loss &amp; DC'!D32+'Safety Curr Schedule w2016Loss '!D32</f>
        <v>39663638.294957496</v>
      </c>
      <c r="E32" s="63">
        <f t="shared" si="6"/>
        <v>1</v>
      </c>
      <c r="F32" s="56">
        <f t="shared" si="3"/>
        <v>41124135.468149468</v>
      </c>
      <c r="G32" s="54">
        <f>'Misc Curr Schd w2016Loss &amp; DC'!G32+'Safety Curr Schedule w2016Loss '!G32</f>
        <v>-65119589.594317868</v>
      </c>
      <c r="H32" s="63">
        <f t="shared" si="4"/>
        <v>13</v>
      </c>
      <c r="I32" s="56">
        <f t="shared" si="1"/>
        <v>-7375803.2340361597</v>
      </c>
      <c r="J32" s="54">
        <f>'Misc Curr Schd w2016Loss &amp; DC'!J32+'Safety Curr Schedule w2016Loss '!J32</f>
        <v>29119635.530347668</v>
      </c>
      <c r="K32" s="63">
        <f t="shared" si="7"/>
        <v>14</v>
      </c>
      <c r="L32" s="56">
        <f t="shared" si="8"/>
        <v>3076396.7497700541</v>
      </c>
      <c r="M32" s="54">
        <f>'Misc Curr Schd w2016Loss &amp; DC'!M32+'Safety Curr Schedule w2016Loss '!M32</f>
        <v>47529971.999137253</v>
      </c>
      <c r="N32" s="63">
        <f t="shared" si="15"/>
        <v>15</v>
      </c>
      <c r="O32" s="56">
        <f t="shared" si="9"/>
        <v>4716029.8091806797</v>
      </c>
      <c r="P32" s="54">
        <f>'Misc Curr Schd w2016Loss &amp; DC'!P32+'Safety Curr Schedule w2016Loss '!P32</f>
        <v>5426773.8697317932</v>
      </c>
      <c r="Q32" s="63">
        <f t="shared" si="16"/>
        <v>5</v>
      </c>
      <c r="R32" s="55">
        <f t="shared" si="10"/>
        <v>1966476.3773672436</v>
      </c>
      <c r="S32" s="54">
        <f>'Misc Curr Schd w2016Loss &amp; DC'!S32+'Safety Curr Schedule w2016Loss '!S32</f>
        <v>6919292.1938902494</v>
      </c>
      <c r="T32" s="63">
        <f t="shared" si="17"/>
        <v>5</v>
      </c>
      <c r="U32" s="55">
        <f t="shared" si="11"/>
        <v>1909389.2288611676</v>
      </c>
      <c r="V32" s="54">
        <f>'Misc Curr Schd w2016Loss &amp; DC'!V32+'Safety Curr Schedule w2016Loss '!V32</f>
        <v>18291039.123535484</v>
      </c>
      <c r="W32" s="63">
        <f t="shared" si="18"/>
        <v>5</v>
      </c>
      <c r="X32" s="55">
        <f t="shared" si="12"/>
        <v>3794750.7637051693</v>
      </c>
      <c r="Y32" s="54">
        <f>'Misc Curr Schd w2016Loss &amp; DC'!Y32+'Safety Curr Schedule w2016Loss '!Y32</f>
        <v>81830761.417282075</v>
      </c>
      <c r="Z32" s="63">
        <f t="shared" si="13"/>
        <v>14</v>
      </c>
      <c r="AA32" s="297">
        <f t="shared" si="14"/>
        <v>49211375.162997618</v>
      </c>
      <c r="AB32" s="63"/>
      <c r="AC32" s="142"/>
      <c r="AD32" s="111"/>
      <c r="AF32" s="49"/>
      <c r="AO32" s="216">
        <v>500000</v>
      </c>
    </row>
    <row r="33" spans="1:41" s="50" customFormat="1" x14ac:dyDescent="0.25">
      <c r="A33" s="49">
        <f t="shared" si="5"/>
        <v>18</v>
      </c>
      <c r="B33" s="49">
        <f t="shared" si="2"/>
        <v>2034</v>
      </c>
      <c r="C33" s="49">
        <f t="shared" si="0"/>
        <v>2035</v>
      </c>
      <c r="D33" s="54"/>
      <c r="E33" s="63"/>
      <c r="F33" s="56"/>
      <c r="G33" s="54">
        <f>'Misc Curr Schd w2016Loss &amp; DC'!G33+'Safety Curr Schedule w2016Loss '!G33</f>
        <v>-62048370.674990878</v>
      </c>
      <c r="H33" s="63">
        <f t="shared" si="4"/>
        <v>12</v>
      </c>
      <c r="I33" s="56">
        <f t="shared" si="1"/>
        <v>-7597077.3310572449</v>
      </c>
      <c r="J33" s="54">
        <f>'Misc Curr Schd w2016Loss &amp; DC'!J33+'Safety Curr Schedule w2016Loss '!J33</f>
        <v>27975760.475192919</v>
      </c>
      <c r="K33" s="63">
        <f t="shared" si="7"/>
        <v>13</v>
      </c>
      <c r="L33" s="56">
        <f t="shared" si="8"/>
        <v>3168688.6522631557</v>
      </c>
      <c r="M33" s="54">
        <f>'Misc Curr Schd w2016Loss &amp; DC'!M33+'Safety Curr Schedule w2016Loss '!M33</f>
        <v>45978770.872117504</v>
      </c>
      <c r="N33" s="63">
        <f t="shared" si="15"/>
        <v>14</v>
      </c>
      <c r="O33" s="56">
        <f t="shared" si="9"/>
        <v>4857510.7034560991</v>
      </c>
      <c r="P33" s="54">
        <f>'Misc Curr Schd w2016Loss &amp; DC'!P33+'Safety Curr Schedule w2016Loss '!P33</f>
        <v>3772509.0589464675</v>
      </c>
      <c r="Q33" s="63">
        <f t="shared" si="16"/>
        <v>4</v>
      </c>
      <c r="R33" s="55">
        <f t="shared" si="10"/>
        <v>1620376.5349506084</v>
      </c>
      <c r="S33" s="54">
        <f>'Misc Curr Schd w2016Loss &amp; DC'!S33+'Safety Curr Schedule w2016Loss '!S33</f>
        <v>5428223.0512694642</v>
      </c>
      <c r="T33" s="63">
        <f t="shared" si="17"/>
        <v>4</v>
      </c>
      <c r="U33" s="55">
        <f t="shared" si="11"/>
        <v>1573336.7245816018</v>
      </c>
      <c r="V33" s="54">
        <f>'Misc Curr Schd w2016Loss &amp; DC'!V33+'Safety Curr Schedule w2016Loss '!V33</f>
        <v>15323936.978768919</v>
      </c>
      <c r="W33" s="63">
        <f t="shared" si="18"/>
        <v>4</v>
      </c>
      <c r="X33" s="55">
        <f t="shared" si="12"/>
        <v>3126874.629293059</v>
      </c>
      <c r="Y33" s="54">
        <f>'Misc Curr Schd w2016Loss &amp; DC'!Y33+'Safety Curr Schedule w2016Loss '!Y33</f>
        <v>36430829.761304393</v>
      </c>
      <c r="Z33" s="63">
        <f t="shared" si="13"/>
        <v>13</v>
      </c>
      <c r="AA33" s="297">
        <f t="shared" si="14"/>
        <v>6749709.9134872789</v>
      </c>
      <c r="AB33" s="63"/>
      <c r="AC33" s="142"/>
      <c r="AD33" s="111"/>
      <c r="AF33" s="49"/>
      <c r="AO33" s="216">
        <v>500000</v>
      </c>
    </row>
    <row r="34" spans="1:41" s="50" customFormat="1" x14ac:dyDescent="0.25">
      <c r="A34" s="49">
        <f t="shared" si="5"/>
        <v>19</v>
      </c>
      <c r="B34" s="49">
        <f t="shared" si="2"/>
        <v>2035</v>
      </c>
      <c r="C34" s="49">
        <f t="shared" si="0"/>
        <v>2036</v>
      </c>
      <c r="D34" s="54"/>
      <c r="E34" s="63"/>
      <c r="F34" s="56"/>
      <c r="G34" s="54">
        <f>'Misc Curr Schd w2016Loss &amp; DC'!G34+'Safety Curr Schedule w2016Loss '!G34</f>
        <v>-58533278.725583136</v>
      </c>
      <c r="H34" s="63">
        <f t="shared" si="4"/>
        <v>11</v>
      </c>
      <c r="I34" s="56">
        <f t="shared" si="1"/>
        <v>-7824989.6509889616</v>
      </c>
      <c r="J34" s="54">
        <f>'Misc Curr Schd w2016Loss &amp; DC'!J34+'Safety Curr Schedule w2016Loss '!J34</f>
        <v>26656346.679908965</v>
      </c>
      <c r="K34" s="63">
        <f t="shared" si="7"/>
        <v>12</v>
      </c>
      <c r="L34" s="56">
        <f t="shared" si="8"/>
        <v>3263749.3118310501</v>
      </c>
      <c r="M34" s="54">
        <f>'Misc Curr Schd w2016Loss &amp; DC'!M34+'Safety Curr Schedule w2016Loss '!M34</f>
        <v>44172636.691197589</v>
      </c>
      <c r="N34" s="63">
        <f t="shared" si="15"/>
        <v>13</v>
      </c>
      <c r="O34" s="56">
        <f t="shared" si="9"/>
        <v>5003236.0245597819</v>
      </c>
      <c r="P34" s="54">
        <f>'Misc Curr Schd w2016Loss &amp; DC'!P34+'Safety Curr Schedule w2016Loss '!P34</f>
        <v>2360454.1721794819</v>
      </c>
      <c r="Q34" s="63">
        <f t="shared" si="16"/>
        <v>3</v>
      </c>
      <c r="R34" s="55">
        <f t="shared" si="10"/>
        <v>1251740.873249345</v>
      </c>
      <c r="S34" s="54">
        <f>'Misc Curr Schd w2016Loss &amp; DC'!S34+'Safety Curr Schedule w2016Loss '!S34</f>
        <v>3773516.4807794322</v>
      </c>
      <c r="T34" s="63">
        <f t="shared" si="17"/>
        <v>3</v>
      </c>
      <c r="U34" s="55">
        <f t="shared" si="11"/>
        <v>1215402.6197392873</v>
      </c>
      <c r="V34" s="54">
        <f>'Misc Curr Schd w2016Loss &amp; DC'!V34+'Safety Curr Schedule w2016Loss '!V34</f>
        <v>12021713.437366271</v>
      </c>
      <c r="W34" s="63">
        <f t="shared" si="18"/>
        <v>3</v>
      </c>
      <c r="X34" s="55">
        <f t="shared" si="12"/>
        <v>2415510.6511288877</v>
      </c>
      <c r="Y34" s="54">
        <f>'Misc Curr Schd w2016Loss &amp; DC'!Y34+'Safety Curr Schedule w2016Loss '!Y34</f>
        <v>30451388.735848606</v>
      </c>
      <c r="Z34" s="63">
        <f t="shared" si="13"/>
        <v>12</v>
      </c>
      <c r="AA34" s="297">
        <f t="shared" si="14"/>
        <v>5324649.8295193911</v>
      </c>
      <c r="AB34" s="63"/>
      <c r="AC34" s="142"/>
      <c r="AD34" s="111"/>
      <c r="AF34" s="49"/>
      <c r="AO34" s="216">
        <v>500000</v>
      </c>
    </row>
    <row r="35" spans="1:41" s="50" customFormat="1" x14ac:dyDescent="0.25">
      <c r="A35" s="49">
        <f t="shared" si="5"/>
        <v>20</v>
      </c>
      <c r="B35" s="49">
        <f t="shared" si="2"/>
        <v>2036</v>
      </c>
      <c r="C35" s="49">
        <f t="shared" si="0"/>
        <v>2037</v>
      </c>
      <c r="D35" s="54"/>
      <c r="E35" s="63"/>
      <c r="F35" s="56"/>
      <c r="G35" s="54">
        <f>'Misc Curr Schd w2016Loss &amp; DC'!G35+'Safety Curr Schedule w2016Loss '!G35</f>
        <v>-54536376.002817139</v>
      </c>
      <c r="H35" s="63">
        <f t="shared" si="4"/>
        <v>10</v>
      </c>
      <c r="I35" s="56">
        <f t="shared" si="1"/>
        <v>-8059739.340518631</v>
      </c>
      <c r="J35" s="54">
        <f>'Misc Curr Schd w2016Loss &amp; DC'!J35+'Safety Curr Schedule w2016Loss '!J35</f>
        <v>25146242.408098713</v>
      </c>
      <c r="K35" s="63">
        <f t="shared" si="7"/>
        <v>11</v>
      </c>
      <c r="L35" s="56">
        <f t="shared" si="8"/>
        <v>3361661.7911859816</v>
      </c>
      <c r="M35" s="54">
        <f>'Misc Curr Schd w2016Loss &amp; DC'!M35+'Safety Curr Schedule w2016Loss '!M35</f>
        <v>42089333.673354238</v>
      </c>
      <c r="N35" s="63">
        <f t="shared" si="15"/>
        <v>12</v>
      </c>
      <c r="O35" s="56">
        <f t="shared" si="9"/>
        <v>5153333.1052965755</v>
      </c>
      <c r="P35" s="54">
        <f>'Misc Curr Schd w2016Loss &amp; DC'!P35+'Safety Curr Schedule w2016Loss '!P35</f>
        <v>1230875.1368420196</v>
      </c>
      <c r="Q35" s="63">
        <f t="shared" si="16"/>
        <v>2</v>
      </c>
      <c r="R35" s="55">
        <f t="shared" si="10"/>
        <v>859528.73296455038</v>
      </c>
      <c r="S35" s="54">
        <f>'Misc Curr Schd w2016Loss &amp; DC'!S35+'Safety Curr Schedule w2016Loss '!S35</f>
        <v>2361084.5147529826</v>
      </c>
      <c r="T35" s="63">
        <f t="shared" si="17"/>
        <v>2</v>
      </c>
      <c r="U35" s="55">
        <f t="shared" si="11"/>
        <v>834576.46555431071</v>
      </c>
      <c r="V35" s="54">
        <f>'Misc Curr Schd w2016Loss &amp; DC'!V35+'Safety Curr Schedule w2016Loss '!V35</f>
        <v>8357087.2741679437</v>
      </c>
      <c r="W35" s="63">
        <f t="shared" si="18"/>
        <v>2</v>
      </c>
      <c r="X35" s="55">
        <f t="shared" si="12"/>
        <v>1658650.6471085032</v>
      </c>
      <c r="Y35" s="54">
        <f>'Misc Curr Schd w2016Loss &amp; DC'!Y35+'Safety Curr Schedule w2016Loss '!Y35</f>
        <v>24648247.004398748</v>
      </c>
      <c r="Z35" s="63">
        <f t="shared" si="13"/>
        <v>11</v>
      </c>
      <c r="AA35" s="297">
        <f t="shared" si="14"/>
        <v>3808011.4015912903</v>
      </c>
      <c r="AB35" s="63"/>
      <c r="AC35" s="142"/>
      <c r="AD35" s="111"/>
      <c r="AF35" s="49"/>
      <c r="AO35" s="216">
        <v>500000</v>
      </c>
    </row>
    <row r="36" spans="1:41" s="50" customFormat="1" x14ac:dyDescent="0.25">
      <c r="A36" s="49">
        <f t="shared" si="5"/>
        <v>21</v>
      </c>
      <c r="B36" s="49">
        <f t="shared" si="2"/>
        <v>2037</v>
      </c>
      <c r="C36" s="49">
        <f t="shared" si="0"/>
        <v>2038</v>
      </c>
      <c r="D36" s="54"/>
      <c r="E36" s="63"/>
      <c r="F36" s="56"/>
      <c r="G36" s="54">
        <f>'Misc Curr Schd w2016Loss &amp; DC'!G36+'Safety Curr Schedule w2016Loss '!G36</f>
        <v>-50016863.122450814</v>
      </c>
      <c r="H36" s="63">
        <f t="shared" si="4"/>
        <v>9</v>
      </c>
      <c r="I36" s="56">
        <f t="shared" ref="I36:I44" si="19">I$15*MIN(H$5,H$15+1-H36)*(1+H$3)^(H$15-H36)*IF(H36&lt;H$5,H36/H$5,1)</f>
        <v>-8301531.5207341881</v>
      </c>
      <c r="J36" s="54">
        <f>'Misc Curr Schd w2016Loss &amp; DC'!J36+'Safety Curr Schedule w2016Loss '!J36</f>
        <v>23429149.381079622</v>
      </c>
      <c r="K36" s="63">
        <f t="shared" si="7"/>
        <v>10</v>
      </c>
      <c r="L36" s="56">
        <f t="shared" si="8"/>
        <v>3462511.6449215612</v>
      </c>
      <c r="M36" s="54">
        <f>'Misc Curr Schd w2016Loss &amp; DC'!M36+'Safety Curr Schedule w2016Loss '!M36</f>
        <v>39704937.816675037</v>
      </c>
      <c r="N36" s="63">
        <f t="shared" si="15"/>
        <v>11</v>
      </c>
      <c r="O36" s="56">
        <f t="shared" si="9"/>
        <v>5307933.0984554728</v>
      </c>
      <c r="P36" s="54">
        <f>'Misc Curr Schd w2016Loss &amp; DC'!P36+'Safety Curr Schedule w2016Loss '!P36</f>
        <v>427932.96161314269</v>
      </c>
      <c r="Q36" s="63">
        <f t="shared" si="16"/>
        <v>1</v>
      </c>
      <c r="R36" s="55">
        <f t="shared" si="10"/>
        <v>442657.29747674335</v>
      </c>
      <c r="S36" s="54">
        <f>'Misc Curr Schd w2016Loss &amp; DC'!S36+'Safety Curr Schedule w2016Loss '!S36</f>
        <v>1231203.8333321118</v>
      </c>
      <c r="T36" s="63">
        <f t="shared" si="17"/>
        <v>1</v>
      </c>
      <c r="U36" s="55">
        <f t="shared" si="11"/>
        <v>429806.87976047001</v>
      </c>
      <c r="V36" s="54">
        <f>'Misc Curr Schd w2016Loss &amp; DC'!V36+'Safety Curr Schedule w2016Loss '!V36</f>
        <v>5229018.9938169923</v>
      </c>
      <c r="W36" s="63">
        <f t="shared" si="18"/>
        <v>1</v>
      </c>
      <c r="X36" s="55">
        <f t="shared" si="12"/>
        <v>854205.08326087915</v>
      </c>
      <c r="Y36" s="54">
        <f>'Misc Curr Schd w2016Loss &amp; DC'!Y36+'Safety Curr Schedule w2016Loss '!Y36</f>
        <v>20005379.864066087</v>
      </c>
      <c r="Z36" s="63">
        <f t="shared" si="13"/>
        <v>10</v>
      </c>
      <c r="AA36" s="297">
        <f t="shared" si="14"/>
        <v>2195582.483140938</v>
      </c>
      <c r="AB36" s="63"/>
      <c r="AC36" s="142"/>
      <c r="AD36" s="111"/>
      <c r="AF36" s="49"/>
      <c r="AO36" s="216">
        <v>500000</v>
      </c>
    </row>
    <row r="37" spans="1:41" s="50" customFormat="1" x14ac:dyDescent="0.25">
      <c r="A37" s="49">
        <f t="shared" si="5"/>
        <v>22</v>
      </c>
      <c r="B37" s="49">
        <f t="shared" si="2"/>
        <v>2038</v>
      </c>
      <c r="C37" s="49">
        <f t="shared" si="0"/>
        <v>2039</v>
      </c>
      <c r="D37" s="54"/>
      <c r="E37" s="63"/>
      <c r="F37" s="56"/>
      <c r="G37" s="54">
        <f>'Misc Curr Schd w2016Loss &amp; DC'!G37+'Safety Curr Schedule w2016Loss '!G37</f>
        <v>-44930872.564441934</v>
      </c>
      <c r="H37" s="63">
        <f t="shared" si="4"/>
        <v>8</v>
      </c>
      <c r="I37" s="56">
        <f t="shared" si="19"/>
        <v>-8550577.4663562141</v>
      </c>
      <c r="J37" s="54">
        <f>'Misc Curr Schd w2016Loss &amp; DC'!J37+'Safety Curr Schedule w2016Loss '!J37</f>
        <v>21487539.942301616</v>
      </c>
      <c r="K37" s="63">
        <f t="shared" si="7"/>
        <v>9</v>
      </c>
      <c r="L37" s="56">
        <f t="shared" si="8"/>
        <v>3566386.9942692076</v>
      </c>
      <c r="M37" s="54">
        <f>'Misc Curr Schd w2016Loss &amp; DC'!M37+'Safety Curr Schedule w2016Loss '!M37</f>
        <v>36993714.77361387</v>
      </c>
      <c r="N37" s="63">
        <f t="shared" si="15"/>
        <v>10</v>
      </c>
      <c r="O37" s="56">
        <f t="shared" si="9"/>
        <v>5467171.0914091365</v>
      </c>
      <c r="P37" s="22"/>
      <c r="Q37" s="52"/>
      <c r="R37" s="21"/>
      <c r="S37" s="22"/>
      <c r="T37" s="52"/>
      <c r="U37" s="21"/>
      <c r="V37" s="22"/>
      <c r="W37" s="52"/>
      <c r="X37" s="21"/>
      <c r="Y37" s="54">
        <f>'Misc Curr Schd w2016Loss &amp; DC'!Y37+'Safety Curr Schedule w2016Loss '!Y37</f>
        <v>16516642.499801524</v>
      </c>
      <c r="Z37" s="63">
        <f t="shared" si="13"/>
        <v>9</v>
      </c>
      <c r="AA37" s="297">
        <f t="shared" si="14"/>
        <v>482980.61932212953</v>
      </c>
      <c r="AB37" s="63"/>
      <c r="AC37" s="142"/>
      <c r="AD37" s="111"/>
      <c r="AF37" s="49"/>
      <c r="AO37" s="216">
        <v>500000</v>
      </c>
    </row>
    <row r="38" spans="1:41" s="50" customFormat="1" x14ac:dyDescent="0.25">
      <c r="A38" s="49">
        <f t="shared" si="5"/>
        <v>23</v>
      </c>
      <c r="B38" s="49">
        <f t="shared" si="2"/>
        <v>2039</v>
      </c>
      <c r="C38" s="49">
        <f t="shared" si="0"/>
        <v>2040</v>
      </c>
      <c r="D38" s="54"/>
      <c r="E38" s="63"/>
      <c r="F38" s="56"/>
      <c r="G38" s="54">
        <f>'Misc Curr Schd w2016Loss &amp; DC'!G38+'Safety Curr Schedule w2016Loss '!G38</f>
        <v>-39231247.53807503</v>
      </c>
      <c r="H38" s="63">
        <f t="shared" si="4"/>
        <v>7</v>
      </c>
      <c r="I38" s="56">
        <f t="shared" si="19"/>
        <v>-8807094.7903469019</v>
      </c>
      <c r="J38" s="54">
        <f>'Misc Curr Schd w2016Loss &amp; DC'!J38+'Safety Curr Schedule w2016Loss '!J38</f>
        <v>19302568.345945548</v>
      </c>
      <c r="K38" s="63">
        <f t="shared" si="7"/>
        <v>8</v>
      </c>
      <c r="L38" s="56">
        <f t="shared" si="8"/>
        <v>3673378.6040972839</v>
      </c>
      <c r="M38" s="54">
        <f>'Misc Curr Schd w2016Loss &amp; DC'!M38+'Safety Curr Schedule w2016Loss '!M38</f>
        <v>33927989.056831561</v>
      </c>
      <c r="N38" s="63">
        <f t="shared" si="15"/>
        <v>9</v>
      </c>
      <c r="O38" s="56">
        <f t="shared" si="9"/>
        <v>5631186.2241514102</v>
      </c>
      <c r="P38" s="22"/>
      <c r="Q38" s="52"/>
      <c r="R38" s="21"/>
      <c r="S38" s="22"/>
      <c r="T38" s="52"/>
      <c r="U38" s="21"/>
      <c r="V38" s="22"/>
      <c r="W38" s="52"/>
      <c r="X38" s="21"/>
      <c r="Y38" s="54">
        <f>'Misc Curr Schd w2016Loss &amp; DC'!Y38+'Safety Curr Schedule w2016Loss '!Y38</f>
        <v>14947292.50750396</v>
      </c>
      <c r="Z38" s="63">
        <f t="shared" si="13"/>
        <v>8</v>
      </c>
      <c r="AA38" s="297">
        <f t="shared" si="14"/>
        <v>497470.03790179268</v>
      </c>
      <c r="AB38" s="63"/>
      <c r="AC38" s="142"/>
      <c r="AD38" s="111"/>
      <c r="AF38" s="49"/>
      <c r="AO38" s="216">
        <v>500000</v>
      </c>
    </row>
    <row r="39" spans="1:41" s="50" customFormat="1" x14ac:dyDescent="0.25">
      <c r="A39" s="49">
        <f t="shared" si="5"/>
        <v>24</v>
      </c>
      <c r="B39" s="49">
        <f t="shared" si="2"/>
        <v>2040</v>
      </c>
      <c r="C39" s="49">
        <f t="shared" si="0"/>
        <v>2041</v>
      </c>
      <c r="D39" s="54"/>
      <c r="E39" s="63"/>
      <c r="F39" s="56"/>
      <c r="G39" s="54">
        <f>'Misc Curr Schd w2016Loss &amp; DC'!G39+'Safety Curr Schedule w2016Loss '!G39</f>
        <v>-32867305.176686104</v>
      </c>
      <c r="H39" s="63">
        <f t="shared" si="4"/>
        <v>6</v>
      </c>
      <c r="I39" s="56">
        <f t="shared" si="19"/>
        <v>-9071307.6340573076</v>
      </c>
      <c r="J39" s="54">
        <f>'Misc Curr Schd w2016Loss &amp; DC'!J39+'Safety Curr Schedule w2016Loss '!J39</f>
        <v>16853975.756075036</v>
      </c>
      <c r="K39" s="63">
        <f t="shared" si="7"/>
        <v>7</v>
      </c>
      <c r="L39" s="56">
        <f t="shared" si="8"/>
        <v>3783579.9622202027</v>
      </c>
      <c r="M39" s="54">
        <f>'Misc Curr Schd w2016Loss &amp; DC'!M39+'Safety Curr Schedule w2016Loss '!M39</f>
        <v>30478003.967346437</v>
      </c>
      <c r="N39" s="63">
        <f t="shared" si="15"/>
        <v>8</v>
      </c>
      <c r="O39" s="56">
        <f t="shared" si="9"/>
        <v>5800121.8108759532</v>
      </c>
      <c r="P39" s="22"/>
      <c r="Q39" s="52"/>
      <c r="R39" s="21"/>
      <c r="S39" s="22"/>
      <c r="T39" s="52"/>
      <c r="U39" s="21"/>
      <c r="V39" s="22"/>
      <c r="W39" s="52"/>
      <c r="X39" s="21"/>
      <c r="Y39" s="54">
        <f>'Misc Curr Schd w2016Loss &amp; DC'!Y39+'Safety Curr Schedule w2016Loss '!Y39</f>
        <v>14464674.546735369</v>
      </c>
      <c r="Z39" s="63">
        <f t="shared" si="13"/>
        <v>7</v>
      </c>
      <c r="AA39" s="297">
        <f t="shared" si="14"/>
        <v>512394.13903884869</v>
      </c>
      <c r="AB39" s="63"/>
      <c r="AC39" s="142"/>
      <c r="AD39" s="111"/>
      <c r="AF39" s="49"/>
      <c r="AO39" s="216">
        <v>500000</v>
      </c>
    </row>
    <row r="40" spans="1:41" s="50" customFormat="1" x14ac:dyDescent="0.25">
      <c r="A40" s="49">
        <f t="shared" si="5"/>
        <v>25</v>
      </c>
      <c r="B40" s="49">
        <f t="shared" si="2"/>
        <v>2041</v>
      </c>
      <c r="C40" s="49">
        <f t="shared" si="0"/>
        <v>2042</v>
      </c>
      <c r="D40" s="54"/>
      <c r="E40" s="63"/>
      <c r="F40" s="56"/>
      <c r="G40" s="54">
        <f>'Misc Curr Schd w2016Loss &amp; DC'!G40+'Safety Curr Schedule w2016Loss '!G40</f>
        <v>-25784582.959328331</v>
      </c>
      <c r="H40" s="63">
        <f t="shared" si="4"/>
        <v>5</v>
      </c>
      <c r="I40" s="56">
        <f t="shared" si="19"/>
        <v>-9343446.8630790263</v>
      </c>
      <c r="J40" s="54">
        <f>'Misc Curr Schd w2016Loss &amp; DC'!J40+'Safety Curr Schedule w2016Loss '!J40</f>
        <v>14119988.513690986</v>
      </c>
      <c r="K40" s="63">
        <f t="shared" si="7"/>
        <v>6</v>
      </c>
      <c r="L40" s="56">
        <f t="shared" si="8"/>
        <v>3897087.3610868081</v>
      </c>
      <c r="M40" s="54">
        <f>'Misc Curr Schd w2016Loss &amp; DC'!M40+'Safety Curr Schedule w2016Loss '!M40</f>
        <v>26611771.591893457</v>
      </c>
      <c r="N40" s="63">
        <f t="shared" si="15"/>
        <v>7</v>
      </c>
      <c r="O40" s="56">
        <f t="shared" si="9"/>
        <v>5974125.4652022319</v>
      </c>
      <c r="P40" s="22"/>
      <c r="Q40" s="52"/>
      <c r="R40" s="21"/>
      <c r="S40" s="22"/>
      <c r="T40" s="52"/>
      <c r="U40" s="21"/>
      <c r="V40" s="22"/>
      <c r="W40" s="52"/>
      <c r="X40" s="21"/>
      <c r="Y40" s="54">
        <f>'Misc Curr Schd w2016Loss &amp; DC'!Y40+'Safety Curr Schedule w2016Loss '!Y40</f>
        <v>14947177.146256115</v>
      </c>
      <c r="Z40" s="63">
        <f t="shared" si="13"/>
        <v>6</v>
      </c>
      <c r="AA40" s="297">
        <f t="shared" si="14"/>
        <v>527765.9632100137</v>
      </c>
      <c r="AB40" s="63"/>
      <c r="AC40" s="142"/>
      <c r="AD40" s="111"/>
      <c r="AF40" s="49"/>
      <c r="AO40" s="216">
        <v>500000</v>
      </c>
    </row>
    <row r="41" spans="1:41" s="50" customFormat="1" x14ac:dyDescent="0.25">
      <c r="A41" s="49">
        <f t="shared" si="5"/>
        <v>26</v>
      </c>
      <c r="B41" s="49">
        <f t="shared" si="2"/>
        <v>2042</v>
      </c>
      <c r="C41" s="49">
        <f t="shared" si="0"/>
        <v>2043</v>
      </c>
      <c r="D41" s="54"/>
      <c r="E41" s="63"/>
      <c r="F41" s="56"/>
      <c r="G41" s="54">
        <f>'Misc Curr Schd w2016Loss &amp; DC'!G41+'Safety Curr Schedule w2016Loss '!G41</f>
        <v>-17924567.179363735</v>
      </c>
      <c r="H41" s="63">
        <f t="shared" si="4"/>
        <v>4</v>
      </c>
      <c r="I41" s="56">
        <f t="shared" si="19"/>
        <v>-7699000.2151771188</v>
      </c>
      <c r="J41" s="54">
        <f>'Misc Curr Schd w2016Loss &amp; DC'!J41+'Safety Curr Schedule w2016Loss '!J41</f>
        <v>11077209.197980775</v>
      </c>
      <c r="K41" s="65">
        <f t="shared" si="7"/>
        <v>5</v>
      </c>
      <c r="L41" s="56">
        <f t="shared" si="8"/>
        <v>4013999.9819194125</v>
      </c>
      <c r="M41" s="54">
        <f>'Misc Curr Schd w2016Loss &amp; DC'!M41+'Safety Curr Schedule w2016Loss '!M41</f>
        <v>22294912.17056375</v>
      </c>
      <c r="N41" s="63">
        <f t="shared" si="15"/>
        <v>6</v>
      </c>
      <c r="O41" s="56">
        <f t="shared" si="9"/>
        <v>6153349.2291582981</v>
      </c>
      <c r="P41" s="22"/>
      <c r="Q41" s="52"/>
      <c r="R41" s="21"/>
      <c r="S41" s="22"/>
      <c r="T41" s="52"/>
      <c r="U41" s="21"/>
      <c r="V41" s="22"/>
      <c r="W41" s="52"/>
      <c r="X41" s="21"/>
      <c r="Y41" s="54">
        <f>'Misc Curr Schd w2016Loss &amp; DC'!Y41+'Safety Curr Schedule w2016Loss '!Y41</f>
        <v>15447554.189180791</v>
      </c>
      <c r="Z41" s="63">
        <f t="shared" si="13"/>
        <v>5</v>
      </c>
      <c r="AA41" s="297">
        <f t="shared" si="14"/>
        <v>2468348.9959005918</v>
      </c>
      <c r="AB41" s="63"/>
      <c r="AC41" s="142"/>
      <c r="AD41" s="111"/>
      <c r="AF41" s="49"/>
      <c r="AO41" s="216">
        <v>500000</v>
      </c>
    </row>
    <row r="42" spans="1:41" s="50" customFormat="1" x14ac:dyDescent="0.25">
      <c r="A42" s="49">
        <f t="shared" si="5"/>
        <v>27</v>
      </c>
      <c r="B42" s="49">
        <f t="shared" si="2"/>
        <v>2043</v>
      </c>
      <c r="C42" s="49">
        <f t="shared" si="0"/>
        <v>2044</v>
      </c>
      <c r="D42" s="54"/>
      <c r="E42" s="63"/>
      <c r="F42" s="56"/>
      <c r="G42" s="54">
        <f>'Misc Curr Schd w2016Loss &amp; DC'!G42+'Safety Curr Schedule w2016Loss '!G42</f>
        <v>-11215379.134134315</v>
      </c>
      <c r="H42" s="63">
        <f t="shared" si="4"/>
        <v>3</v>
      </c>
      <c r="I42" s="56">
        <f t="shared" si="19"/>
        <v>-5947477.6662243232</v>
      </c>
      <c r="J42" s="54">
        <f>'Misc Curr Schd w2016Loss &amp; DC'!J42+'Safety Curr Schedule w2016Loss '!J42</f>
        <v>7700499.9748207908</v>
      </c>
      <c r="K42" s="63">
        <f t="shared" si="7"/>
        <v>4</v>
      </c>
      <c r="L42" s="56">
        <f t="shared" si="8"/>
        <v>3307535.9851015965</v>
      </c>
      <c r="M42" s="54">
        <f>'Misc Curr Schd w2016Loss &amp; DC'!M42+'Safety Curr Schedule w2016Loss '!M42</f>
        <v>17490482.086758099</v>
      </c>
      <c r="N42" s="65">
        <f t="shared" si="15"/>
        <v>5</v>
      </c>
      <c r="O42" s="56">
        <f t="shared" si="9"/>
        <v>6337949.7060330473</v>
      </c>
      <c r="P42" s="22"/>
      <c r="Q42" s="52"/>
      <c r="R42" s="21"/>
      <c r="S42" s="22"/>
      <c r="T42" s="52"/>
      <c r="U42" s="21"/>
      <c r="V42" s="22"/>
      <c r="W42" s="52"/>
      <c r="X42" s="21"/>
      <c r="Y42" s="54">
        <f>'Misc Curr Schd w2016Loss &amp; DC'!Y42+'Safety Curr Schedule w2016Loss '!Y42</f>
        <v>13975602.927444577</v>
      </c>
      <c r="Z42" s="63">
        <f t="shared" si="13"/>
        <v>4</v>
      </c>
      <c r="AA42" s="297">
        <f t="shared" si="14"/>
        <v>3698008.0249103205</v>
      </c>
      <c r="AB42" s="63"/>
      <c r="AC42" s="142"/>
      <c r="AD42" s="111"/>
      <c r="AF42" s="49"/>
      <c r="AO42" s="216">
        <v>500000</v>
      </c>
    </row>
    <row r="43" spans="1:41" s="50" customFormat="1" x14ac:dyDescent="0.25">
      <c r="A43" s="49">
        <f t="shared" si="5"/>
        <v>28</v>
      </c>
      <c r="B43" s="49">
        <f t="shared" si="2"/>
        <v>2044</v>
      </c>
      <c r="C43" s="49">
        <f t="shared" si="0"/>
        <v>2045</v>
      </c>
      <c r="D43" s="54"/>
      <c r="E43" s="63"/>
      <c r="F43" s="56"/>
      <c r="G43" s="54">
        <f>'Misc Curr Schd w2016Loss &amp; DC'!G43+'Safety Curr Schedule w2016Loss '!G43</f>
        <v>-5848336.938359892</v>
      </c>
      <c r="H43" s="63">
        <f t="shared" si="4"/>
        <v>2</v>
      </c>
      <c r="I43" s="56">
        <f t="shared" si="19"/>
        <v>-4083934.6641407022</v>
      </c>
      <c r="J43" s="54">
        <f>'Misc Curr Schd w2016Loss &amp; DC'!J43+'Safety Curr Schedule w2016Loss '!J43</f>
        <v>4818193.1466348879</v>
      </c>
      <c r="K43" s="63">
        <f t="shared" si="7"/>
        <v>3</v>
      </c>
      <c r="L43" s="56">
        <f t="shared" si="8"/>
        <v>2555071.548490983</v>
      </c>
      <c r="M43" s="54">
        <f>'Misc Curr Schd w2016Loss &amp; DC'!M43+'Safety Curr Schedule w2016Loss '!M43</f>
        <v>12158789.679013697</v>
      </c>
      <c r="N43" s="63">
        <f t="shared" si="15"/>
        <v>4</v>
      </c>
      <c r="O43" s="56">
        <f t="shared" si="9"/>
        <v>5222470.557771232</v>
      </c>
      <c r="P43" s="22"/>
      <c r="Q43" s="52"/>
      <c r="R43" s="21"/>
      <c r="S43" s="22"/>
      <c r="T43" s="52"/>
      <c r="U43" s="21"/>
      <c r="V43" s="22"/>
      <c r="W43" s="52"/>
      <c r="X43" s="21"/>
      <c r="Y43" s="54">
        <f>'Misc Curr Schd w2016Loss &amp; DC'!Y43+'Safety Curr Schedule w2016Loss '!Y43</f>
        <v>11128645.887288693</v>
      </c>
      <c r="Z43" s="63">
        <f t="shared" si="13"/>
        <v>3</v>
      </c>
      <c r="AA43" s="297">
        <f t="shared" si="14"/>
        <v>3693607.4421215127</v>
      </c>
      <c r="AB43" s="63"/>
      <c r="AC43" s="142"/>
      <c r="AD43" s="111"/>
      <c r="AF43" s="49"/>
      <c r="AO43" s="216">
        <v>500000</v>
      </c>
    </row>
    <row r="44" spans="1:41" x14ac:dyDescent="0.25">
      <c r="A44" s="49">
        <f t="shared" si="5"/>
        <v>29</v>
      </c>
      <c r="B44" s="49">
        <f t="shared" si="2"/>
        <v>2045</v>
      </c>
      <c r="C44" s="49">
        <f t="shared" si="0"/>
        <v>2046</v>
      </c>
      <c r="D44" s="54"/>
      <c r="E44" s="63"/>
      <c r="F44" s="56"/>
      <c r="G44" s="54">
        <f>'Misc Curr Schd w2016Loss &amp; DC'!G44+'Safety Curr Schedule w2016Loss '!G44</f>
        <v>-2033265.6592325924</v>
      </c>
      <c r="H44" s="63">
        <f t="shared" si="4"/>
        <v>1</v>
      </c>
      <c r="I44" s="56">
        <f t="shared" si="19"/>
        <v>-2103226.3520324617</v>
      </c>
      <c r="J44" s="54">
        <f>'Misc Curr Schd w2016Loss &amp; DC'!J44+'Safety Curr Schedule w2016Loss '!J44</f>
        <v>2512480.1059872853</v>
      </c>
      <c r="K44" s="63">
        <f t="shared" si="7"/>
        <v>2</v>
      </c>
      <c r="L44" s="56">
        <f t="shared" si="8"/>
        <v>1754482.4632971417</v>
      </c>
      <c r="M44" s="54">
        <f>'Misc Curr Schd w2016Loss &amp; DC'!M44+'Safety Curr Schedule w2016Loss '!M44</f>
        <v>7607739.4057990611</v>
      </c>
      <c r="N44" s="63">
        <f t="shared" si="15"/>
        <v>3</v>
      </c>
      <c r="O44" s="56">
        <f t="shared" si="9"/>
        <v>4034358.5058782757</v>
      </c>
      <c r="P44" s="22"/>
      <c r="Q44" s="52"/>
      <c r="R44" s="21"/>
      <c r="S44" s="22"/>
      <c r="T44" s="52"/>
      <c r="U44" s="21"/>
      <c r="V44" s="22"/>
      <c r="W44" s="52"/>
      <c r="X44" s="21"/>
      <c r="Y44" s="54">
        <f>'Misc Curr Schd w2016Loss &amp; DC'!Y44+'Safety Curr Schedule w2016Loss '!Y44</f>
        <v>8086953.8525537541</v>
      </c>
      <c r="Z44" s="63">
        <f t="shared" si="13"/>
        <v>2</v>
      </c>
      <c r="AA44" s="297">
        <f t="shared" si="14"/>
        <v>3685614.6171429558</v>
      </c>
      <c r="AB44" s="63"/>
      <c r="AC44" s="142"/>
      <c r="AD44" s="111"/>
      <c r="AO44" s="216">
        <v>500000</v>
      </c>
    </row>
    <row r="45" spans="1:41" x14ac:dyDescent="0.25">
      <c r="A45" s="49">
        <f t="shared" si="5"/>
        <v>30</v>
      </c>
      <c r="B45" s="49">
        <f t="shared" si="2"/>
        <v>2046</v>
      </c>
      <c r="C45" s="49">
        <f t="shared" si="0"/>
        <v>2047</v>
      </c>
      <c r="D45" s="54"/>
      <c r="E45" s="63"/>
      <c r="F45" s="56"/>
      <c r="G45" s="54"/>
      <c r="H45" s="63"/>
      <c r="I45" s="56"/>
      <c r="J45" s="54">
        <f>'Misc Curr Schd w2016Loss &amp; DC'!J45+'Safety Curr Schedule w2016Loss '!J45</f>
        <v>873502.94158012455</v>
      </c>
      <c r="K45" s="63">
        <f t="shared" si="7"/>
        <v>1</v>
      </c>
      <c r="L45" s="56">
        <f t="shared" si="8"/>
        <v>903558.46859802795</v>
      </c>
      <c r="M45" s="54">
        <f>'Misc Curr Schd w2016Loss &amp; DC'!M45+'Safety Curr Schedule w2016Loss '!M45</f>
        <v>3967108.2762540244</v>
      </c>
      <c r="N45" s="63">
        <f t="shared" si="15"/>
        <v>2</v>
      </c>
      <c r="O45" s="56">
        <f t="shared" si="9"/>
        <v>2770259.5073697497</v>
      </c>
      <c r="P45" s="22"/>
      <c r="Q45" s="52"/>
      <c r="R45" s="21"/>
      <c r="S45" s="22"/>
      <c r="T45" s="52"/>
      <c r="U45" s="21"/>
      <c r="V45" s="22"/>
      <c r="W45" s="52"/>
      <c r="X45" s="21"/>
      <c r="Y45" s="54">
        <f>'Misc Curr Schd w2016Loss &amp; DC'!Y45+'Safety Curr Schedule w2016Loss '!Y45</f>
        <v>4840611.2178338747</v>
      </c>
      <c r="Z45" s="63">
        <f t="shared" si="13"/>
        <v>1</v>
      </c>
      <c r="AA45" s="297">
        <f t="shared" si="14"/>
        <v>3673817.9759677779</v>
      </c>
      <c r="AB45" s="63"/>
      <c r="AC45" s="142"/>
      <c r="AD45" s="111"/>
      <c r="AO45" s="216">
        <v>500000</v>
      </c>
    </row>
    <row r="46" spans="1:41" ht="15.75" thickBot="1" x14ac:dyDescent="0.3">
      <c r="A46" s="49">
        <f t="shared" si="5"/>
        <v>31</v>
      </c>
      <c r="B46" s="49">
        <f t="shared" si="2"/>
        <v>2047</v>
      </c>
      <c r="C46" s="49">
        <f t="shared" ref="C46" si="20">B46+1</f>
        <v>2048</v>
      </c>
      <c r="D46" s="57"/>
      <c r="E46" s="68"/>
      <c r="F46" s="59"/>
      <c r="G46" s="57"/>
      <c r="H46" s="68"/>
      <c r="I46" s="59"/>
      <c r="J46" s="57"/>
      <c r="K46" s="68"/>
      <c r="L46" s="59"/>
      <c r="M46" s="57">
        <f>'Misc Curr Schd w2016Loss &amp; DC'!M46+'Safety Curr Schedule w2016Loss '!M46</f>
        <v>1379227.1391988057</v>
      </c>
      <c r="N46" s="68">
        <f t="shared" si="15"/>
        <v>1</v>
      </c>
      <c r="O46" s="59">
        <f t="shared" si="9"/>
        <v>1426683.6462954208</v>
      </c>
      <c r="P46" s="33"/>
      <c r="Q46" s="12"/>
      <c r="R46" s="34"/>
      <c r="S46" s="33"/>
      <c r="T46" s="12"/>
      <c r="U46" s="34"/>
      <c r="V46" s="33"/>
      <c r="W46" s="12"/>
      <c r="X46" s="34"/>
      <c r="Y46" s="57">
        <f>'Misc Curr Schd w2016Loss &amp; DC'!Y46+'Safety Curr Schedule w2016Loss '!Y46</f>
        <v>1379227.1391988057</v>
      </c>
      <c r="Z46" s="68">
        <f t="shared" si="13"/>
        <v>0</v>
      </c>
      <c r="AA46" s="384">
        <f>F46+I46+L46+O46+R46+U46+X46</f>
        <v>1426683.6462954208</v>
      </c>
      <c r="AB46" s="146"/>
      <c r="AC46" s="147"/>
      <c r="AD46" s="52"/>
    </row>
    <row r="47" spans="1:41" x14ac:dyDescent="0.25">
      <c r="C47" s="47"/>
      <c r="Y47" s="49" t="s">
        <v>81</v>
      </c>
      <c r="AA47" s="47">
        <f>SUM(AA16:AA46)</f>
        <v>692554032.77326882</v>
      </c>
      <c r="AB47" s="47"/>
    </row>
    <row r="48" spans="1:41" x14ac:dyDescent="0.25">
      <c r="B48" s="215">
        <v>0</v>
      </c>
      <c r="C48" s="52"/>
      <c r="D48" s="56"/>
      <c r="E48" s="49" t="s">
        <v>152</v>
      </c>
      <c r="Y48" s="49" t="s">
        <v>86</v>
      </c>
      <c r="AA48" s="48">
        <f>NPV(0.03,AA16:AA46)</f>
        <v>512047221.69365126</v>
      </c>
      <c r="AB48" s="48"/>
      <c r="AC48" s="48"/>
      <c r="AD48" s="48"/>
    </row>
    <row r="49" spans="2:28" x14ac:dyDescent="0.25">
      <c r="B49" s="215">
        <v>-1</v>
      </c>
      <c r="C49" s="52"/>
      <c r="D49" s="274"/>
      <c r="E49" s="49" t="s">
        <v>153</v>
      </c>
      <c r="AB49" s="49"/>
    </row>
    <row r="50" spans="2:28" x14ac:dyDescent="0.25">
      <c r="B50" s="215">
        <v>1</v>
      </c>
      <c r="C50" s="52"/>
      <c r="D50" s="56"/>
      <c r="E50" s="49" t="s">
        <v>154</v>
      </c>
      <c r="AB50" s="49"/>
    </row>
    <row r="51" spans="2:28" x14ac:dyDescent="0.25">
      <c r="AB51" s="49"/>
    </row>
    <row r="52" spans="2:28" x14ac:dyDescent="0.25">
      <c r="AB52" s="49"/>
    </row>
    <row r="53" spans="2:28" x14ac:dyDescent="0.25">
      <c r="AB53" s="47"/>
    </row>
    <row r="57" spans="2:28" x14ac:dyDescent="0.25">
      <c r="G57" s="48"/>
    </row>
  </sheetData>
  <mergeCells count="11">
    <mergeCell ref="AF5:AK5"/>
    <mergeCell ref="D10:AA10"/>
    <mergeCell ref="Y11:AA11"/>
    <mergeCell ref="D12:F12"/>
    <mergeCell ref="G12:I12"/>
    <mergeCell ref="J12:L12"/>
    <mergeCell ref="M12:O12"/>
    <mergeCell ref="Y12:AA12"/>
    <mergeCell ref="P12:R12"/>
    <mergeCell ref="S12:U12"/>
    <mergeCell ref="V12:X12"/>
  </mergeCells>
  <conditionalFormatting sqref="AC14:AD45">
    <cfRule type="iconSet" priority="28">
      <iconSet>
        <cfvo type="percent" val="0"/>
        <cfvo type="num" val="0.7"/>
        <cfvo type="num" val="0.8"/>
      </iconSet>
    </cfRule>
  </conditionalFormatting>
  <conditionalFormatting sqref="D17">
    <cfRule type="cellIs" dxfId="539" priority="25" operator="greaterThanOrEqual">
      <formula>D16</formula>
    </cfRule>
    <cfRule type="cellIs" dxfId="538" priority="26" operator="greaterThan">
      <formula>D$16</formula>
    </cfRule>
    <cfRule type="cellIs" dxfId="537" priority="27" operator="lessThanOrEqual">
      <formula>D$16</formula>
    </cfRule>
  </conditionalFormatting>
  <conditionalFormatting sqref="D18:D33">
    <cfRule type="cellIs" dxfId="536" priority="22" operator="greaterThanOrEqual">
      <formula>D17</formula>
    </cfRule>
    <cfRule type="cellIs" dxfId="535" priority="23" operator="greaterThan">
      <formula>D$16</formula>
    </cfRule>
    <cfRule type="cellIs" dxfId="534" priority="24" operator="lessThanOrEqual">
      <formula>D$16</formula>
    </cfRule>
  </conditionalFormatting>
  <conditionalFormatting sqref="D48">
    <cfRule type="cellIs" dxfId="533" priority="19" operator="greaterThanOrEqual">
      <formula>B48</formula>
    </cfRule>
    <cfRule type="cellIs" dxfId="532" priority="20" operator="greaterThan">
      <formula>B49</formula>
    </cfRule>
    <cfRule type="cellIs" dxfId="531" priority="21" operator="lessThanOrEqual">
      <formula>51</formula>
    </cfRule>
  </conditionalFormatting>
  <conditionalFormatting sqref="G16:G45">
    <cfRule type="cellIs" dxfId="530" priority="29" operator="greaterThanOrEqual">
      <formula>G15</formula>
    </cfRule>
    <cfRule type="cellIs" dxfId="529" priority="30" operator="greaterThan">
      <formula>G$15</formula>
    </cfRule>
    <cfRule type="cellIs" dxfId="528" priority="31" operator="lessThanOrEqual">
      <formula>G$15</formula>
    </cfRule>
  </conditionalFormatting>
  <conditionalFormatting sqref="J17">
    <cfRule type="cellIs" dxfId="527" priority="16" operator="greaterThanOrEqual">
      <formula>J16</formula>
    </cfRule>
    <cfRule type="cellIs" dxfId="526" priority="17" operator="greaterThan">
      <formula>J$16</formula>
    </cfRule>
    <cfRule type="cellIs" dxfId="525" priority="18" operator="lessThanOrEqual">
      <formula>J$16</formula>
    </cfRule>
  </conditionalFormatting>
  <conditionalFormatting sqref="J18:J45">
    <cfRule type="cellIs" dxfId="524" priority="13" operator="greaterThanOrEqual">
      <formula>J17</formula>
    </cfRule>
    <cfRule type="cellIs" dxfId="523" priority="14" operator="greaterThan">
      <formula>J$16</formula>
    </cfRule>
    <cfRule type="cellIs" dxfId="522" priority="15" operator="lessThanOrEqual">
      <formula>J$16</formula>
    </cfRule>
  </conditionalFormatting>
  <conditionalFormatting sqref="Y17:Y46">
    <cfRule type="cellIs" dxfId="521" priority="10" operator="greaterThanOrEqual">
      <formula>Y16</formula>
    </cfRule>
    <cfRule type="cellIs" dxfId="520" priority="11" operator="greaterThan">
      <formula>Y$16</formula>
    </cfRule>
    <cfRule type="cellIs" dxfId="519" priority="12" operator="lessThanOrEqual">
      <formula>Y$16</formula>
    </cfRule>
  </conditionalFormatting>
  <conditionalFormatting sqref="D50">
    <cfRule type="cellIs" dxfId="518" priority="32" operator="greaterThanOrEqual">
      <formula>B50</formula>
    </cfRule>
    <cfRule type="cellIs" dxfId="517" priority="33" operator="greaterThan">
      <formula>D48</formula>
    </cfRule>
    <cfRule type="cellIs" dxfId="516" priority="34" operator="lessThanOrEqual">
      <formula>51</formula>
    </cfRule>
  </conditionalFormatting>
  <conditionalFormatting sqref="M18:M46">
    <cfRule type="cellIs" dxfId="515" priority="35" operator="greaterThanOrEqual">
      <formula>M17</formula>
    </cfRule>
    <cfRule type="cellIs" dxfId="514" priority="36" operator="greaterThan">
      <formula>M$17</formula>
    </cfRule>
    <cfRule type="cellIs" dxfId="513" priority="37" operator="lessThanOrEqual">
      <formula>M$17</formula>
    </cfRule>
  </conditionalFormatting>
  <conditionalFormatting sqref="P18:P36">
    <cfRule type="cellIs" dxfId="512" priority="7" operator="greaterThanOrEqual">
      <formula>P17</formula>
    </cfRule>
    <cfRule type="cellIs" dxfId="511" priority="8" operator="greaterThan">
      <formula>P$17</formula>
    </cfRule>
    <cfRule type="cellIs" dxfId="510" priority="9" operator="lessThanOrEqual">
      <formula>P$17</formula>
    </cfRule>
  </conditionalFormatting>
  <conditionalFormatting sqref="S18:S36">
    <cfRule type="cellIs" dxfId="509" priority="4" operator="greaterThanOrEqual">
      <formula>S17</formula>
    </cfRule>
    <cfRule type="cellIs" dxfId="508" priority="5" operator="greaterThan">
      <formula>S$17</formula>
    </cfRule>
    <cfRule type="cellIs" dxfId="507" priority="6" operator="lessThanOrEqual">
      <formula>S$17</formula>
    </cfRule>
  </conditionalFormatting>
  <conditionalFormatting sqref="V18:V36">
    <cfRule type="cellIs" dxfId="506" priority="1" operator="greaterThanOrEqual">
      <formula>V17</formula>
    </cfRule>
    <cfRule type="cellIs" dxfId="505" priority="2" operator="greaterThan">
      <formula>V$17</formula>
    </cfRule>
    <cfRule type="cellIs" dxfId="504" priority="3" operator="lessThanOrEqual">
      <formula>V$17</formula>
    </cfRule>
  </conditionalFormatting>
  <pageMargins left="0.25" right="0.25" top="0.25" bottom="0.25" header="0.3" footer="0.3"/>
  <pageSetup scale="46" orientation="landscape" r:id="rId1"/>
  <headerFooter differentFirst="1">
    <oddFooter>&amp;R&amp;P</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AM51"/>
  <sheetViews>
    <sheetView showGridLines="0" zoomScaleNormal="100" workbookViewId="0">
      <selection activeCell="AD5" sqref="A5:AI6"/>
    </sheetView>
  </sheetViews>
  <sheetFormatPr defaultColWidth="9.140625" defaultRowHeight="15" x14ac:dyDescent="0.25"/>
  <cols>
    <col min="1" max="1" width="3.5703125" style="49" customWidth="1"/>
    <col min="2" max="3" width="5" style="49" bestFit="1" customWidth="1"/>
    <col min="4" max="4" width="14.7109375" style="49" customWidth="1"/>
    <col min="5" max="5" width="6.28515625" style="49" customWidth="1"/>
    <col min="6" max="6" width="12.28515625" style="49" customWidth="1"/>
    <col min="7" max="7" width="13" style="49" bestFit="1" customWidth="1"/>
    <col min="8" max="8" width="9.5703125" style="49" bestFit="1" customWidth="1"/>
    <col min="9" max="9" width="11.85546875" style="49" bestFit="1" customWidth="1"/>
    <col min="10" max="10" width="14.85546875" style="49" customWidth="1"/>
    <col min="11" max="11" width="9.140625" style="49" bestFit="1" customWidth="1"/>
    <col min="12" max="12" width="11.85546875" style="49" customWidth="1"/>
    <col min="13" max="13" width="12.28515625" style="49" customWidth="1"/>
    <col min="14" max="14" width="6.28515625" style="49" customWidth="1"/>
    <col min="15" max="15" width="11.28515625" style="49" customWidth="1"/>
    <col min="16" max="16" width="12.28515625" style="49" customWidth="1"/>
    <col min="17" max="17" width="9.140625" style="49" bestFit="1" customWidth="1"/>
    <col min="18" max="18" width="11.28515625" style="49" customWidth="1"/>
    <col min="19" max="19" width="12.28515625" style="49" customWidth="1"/>
    <col min="20" max="20" width="9.140625" style="49" bestFit="1" customWidth="1"/>
    <col min="21" max="21" width="11.28515625" style="49" customWidth="1"/>
    <col min="22" max="22" width="12.28515625" style="49" customWidth="1"/>
    <col min="23" max="23" width="9.140625" style="49" customWidth="1"/>
    <col min="24" max="24" width="11.28515625" style="49" customWidth="1"/>
    <col min="25" max="25" width="15.140625" style="49" bestFit="1" customWidth="1"/>
    <col min="26" max="26" width="7" style="49" customWidth="1"/>
    <col min="27" max="27" width="15.5703125" style="49" bestFit="1" customWidth="1"/>
    <col min="28" max="28" width="4" style="49" customWidth="1"/>
    <col min="29" max="29" width="13.42578125" style="49" bestFit="1" customWidth="1"/>
    <col min="30" max="30" width="4.85546875" style="49" bestFit="1" customWidth="1"/>
    <col min="31" max="31" width="13.7109375" style="49" bestFit="1" customWidth="1"/>
    <col min="32" max="32" width="9.140625" style="49"/>
    <col min="33" max="33" width="15.85546875" style="49" customWidth="1"/>
    <col min="34" max="34" width="15" style="49" bestFit="1" customWidth="1"/>
    <col min="35" max="35" width="9.140625" style="49"/>
    <col min="36" max="36" width="4.85546875" style="49" customWidth="1"/>
    <col min="37" max="38" width="9.140625" style="49"/>
    <col min="39" max="39" width="12.5703125" style="215" bestFit="1" customWidth="1"/>
    <col min="40" max="16384" width="9.140625" style="49"/>
  </cols>
  <sheetData>
    <row r="1" spans="1:39" ht="11.25" customHeight="1" x14ac:dyDescent="0.25"/>
    <row r="2" spans="1:39" ht="26.25" x14ac:dyDescent="0.4">
      <c r="D2" s="214"/>
    </row>
    <row r="3" spans="1:39" ht="26.25" x14ac:dyDescent="0.4">
      <c r="D3" s="214" t="s">
        <v>251</v>
      </c>
      <c r="AC3" s="214" t="s">
        <v>252</v>
      </c>
    </row>
    <row r="5" spans="1:39" x14ac:dyDescent="0.25">
      <c r="AC5" s="73"/>
      <c r="AD5" s="540"/>
      <c r="AE5" s="540"/>
      <c r="AF5" s="540"/>
      <c r="AG5" s="540"/>
      <c r="AH5" s="540"/>
      <c r="AI5" s="540"/>
    </row>
    <row r="9" spans="1:39" x14ac:dyDescent="0.25">
      <c r="A9" s="476">
        <v>1</v>
      </c>
      <c r="B9" s="476">
        <v>2</v>
      </c>
      <c r="C9" s="476">
        <v>3</v>
      </c>
      <c r="D9" s="476">
        <v>4</v>
      </c>
      <c r="E9" s="476">
        <v>5</v>
      </c>
      <c r="F9" s="476">
        <v>6</v>
      </c>
      <c r="G9" s="476">
        <v>7</v>
      </c>
      <c r="H9" s="476">
        <v>8</v>
      </c>
      <c r="I9" s="476">
        <v>9</v>
      </c>
      <c r="J9" s="476">
        <v>10</v>
      </c>
      <c r="K9" s="476">
        <v>11</v>
      </c>
      <c r="L9" s="476">
        <v>12</v>
      </c>
      <c r="M9" s="476">
        <v>13</v>
      </c>
      <c r="N9" s="476">
        <v>14</v>
      </c>
      <c r="O9" s="476">
        <v>15</v>
      </c>
      <c r="P9" s="476">
        <v>16</v>
      </c>
      <c r="Q9" s="476">
        <v>17</v>
      </c>
      <c r="R9" s="476">
        <v>18</v>
      </c>
      <c r="S9" s="476">
        <v>19</v>
      </c>
      <c r="T9" s="476">
        <v>20</v>
      </c>
      <c r="U9" s="476">
        <v>21</v>
      </c>
      <c r="V9" s="476">
        <v>22</v>
      </c>
      <c r="W9" s="476">
        <v>23</v>
      </c>
      <c r="X9" s="476">
        <v>24</v>
      </c>
      <c r="Y9" s="476">
        <v>25</v>
      </c>
      <c r="Z9" s="476">
        <v>26</v>
      </c>
      <c r="AA9" s="476">
        <v>27</v>
      </c>
    </row>
    <row r="10" spans="1:39" x14ac:dyDescent="0.25">
      <c r="C10" s="340"/>
      <c r="D10" s="408" t="s">
        <v>198</v>
      </c>
      <c r="E10" s="409"/>
      <c r="F10" s="409"/>
      <c r="G10" s="409"/>
      <c r="H10" s="409"/>
      <c r="I10" s="409"/>
      <c r="J10" s="409"/>
      <c r="K10" s="409"/>
      <c r="L10" s="409"/>
      <c r="M10" s="409"/>
      <c r="N10" s="409"/>
      <c r="O10" s="409"/>
      <c r="P10" s="409"/>
      <c r="Q10" s="409"/>
      <c r="R10" s="409"/>
      <c r="S10" s="409"/>
      <c r="T10" s="409"/>
      <c r="U10" s="409"/>
      <c r="V10" s="409"/>
      <c r="W10" s="409"/>
      <c r="X10" s="409"/>
      <c r="Y10" s="409"/>
      <c r="Z10" s="409"/>
      <c r="AA10" s="410"/>
      <c r="AB10" s="219"/>
      <c r="AC10" s="408"/>
      <c r="AD10" s="409"/>
      <c r="AE10" s="410"/>
    </row>
    <row r="11" spans="1:39" x14ac:dyDescent="0.25">
      <c r="D11" s="288"/>
      <c r="E11" s="289" t="s">
        <v>155</v>
      </c>
      <c r="F11" s="290"/>
      <c r="G11" s="30"/>
      <c r="H11" s="254" t="s">
        <v>156</v>
      </c>
      <c r="I11" s="254"/>
      <c r="J11" s="207"/>
      <c r="K11" s="208" t="s">
        <v>157</v>
      </c>
      <c r="L11" s="208"/>
      <c r="M11" s="304"/>
      <c r="N11" s="305" t="s">
        <v>212</v>
      </c>
      <c r="O11" s="305"/>
      <c r="P11" s="304"/>
      <c r="Q11" s="305" t="s">
        <v>213</v>
      </c>
      <c r="R11" s="305"/>
      <c r="S11" s="304"/>
      <c r="T11" s="305" t="s">
        <v>214</v>
      </c>
      <c r="U11" s="305"/>
      <c r="V11" s="304"/>
      <c r="W11" s="305" t="s">
        <v>215</v>
      </c>
      <c r="X11" s="305"/>
      <c r="Y11" s="576"/>
      <c r="Z11" s="577"/>
      <c r="AA11" s="578"/>
      <c r="AB11" s="217"/>
      <c r="AC11" s="576"/>
      <c r="AD11" s="577"/>
      <c r="AE11" s="578"/>
    </row>
    <row r="12" spans="1:39" x14ac:dyDescent="0.25">
      <c r="C12" s="359"/>
      <c r="D12" s="593" t="s">
        <v>147</v>
      </c>
      <c r="E12" s="594"/>
      <c r="F12" s="594"/>
      <c r="G12" s="595" t="s">
        <v>148</v>
      </c>
      <c r="H12" s="596"/>
      <c r="I12" s="597"/>
      <c r="J12" s="568" t="s">
        <v>160</v>
      </c>
      <c r="K12" s="569"/>
      <c r="L12" s="570"/>
      <c r="M12" s="568" t="s">
        <v>160</v>
      </c>
      <c r="N12" s="569"/>
      <c r="O12" s="570"/>
      <c r="P12" s="568" t="s">
        <v>160</v>
      </c>
      <c r="Q12" s="569"/>
      <c r="R12" s="570"/>
      <c r="S12" s="568" t="s">
        <v>160</v>
      </c>
      <c r="T12" s="569"/>
      <c r="U12" s="570"/>
      <c r="V12" s="568" t="s">
        <v>160</v>
      </c>
      <c r="W12" s="569"/>
      <c r="X12" s="570"/>
      <c r="Y12" s="565" t="s">
        <v>53</v>
      </c>
      <c r="Z12" s="566"/>
      <c r="AA12" s="567"/>
      <c r="AB12" s="218"/>
      <c r="AC12" s="565" t="s">
        <v>226</v>
      </c>
      <c r="AD12" s="566"/>
      <c r="AE12" s="567"/>
    </row>
    <row r="13" spans="1:39" x14ac:dyDescent="0.25">
      <c r="B13" s="49" t="s">
        <v>161</v>
      </c>
      <c r="C13" s="88" t="s">
        <v>162</v>
      </c>
      <c r="D13" s="74" t="s">
        <v>49</v>
      </c>
      <c r="E13" s="75" t="s">
        <v>50</v>
      </c>
      <c r="F13" s="76" t="s">
        <v>51</v>
      </c>
      <c r="G13" s="77" t="s">
        <v>49</v>
      </c>
      <c r="H13" s="78" t="s">
        <v>50</v>
      </c>
      <c r="I13" s="78" t="s">
        <v>51</v>
      </c>
      <c r="J13" s="74" t="s">
        <v>49</v>
      </c>
      <c r="K13" s="75" t="s">
        <v>50</v>
      </c>
      <c r="L13" s="75" t="s">
        <v>51</v>
      </c>
      <c r="M13" s="74" t="s">
        <v>49</v>
      </c>
      <c r="N13" s="75" t="s">
        <v>50</v>
      </c>
      <c r="O13" s="75" t="s">
        <v>51</v>
      </c>
      <c r="P13" s="74" t="s">
        <v>49</v>
      </c>
      <c r="Q13" s="75" t="s">
        <v>50</v>
      </c>
      <c r="R13" s="75" t="s">
        <v>51</v>
      </c>
      <c r="S13" s="74" t="s">
        <v>49</v>
      </c>
      <c r="T13" s="75" t="s">
        <v>50</v>
      </c>
      <c r="U13" s="75" t="s">
        <v>51</v>
      </c>
      <c r="V13" s="74" t="s">
        <v>49</v>
      </c>
      <c r="W13" s="75" t="s">
        <v>50</v>
      </c>
      <c r="X13" s="75" t="s">
        <v>51</v>
      </c>
      <c r="Y13" s="122" t="s">
        <v>49</v>
      </c>
      <c r="Z13" s="123" t="s">
        <v>52</v>
      </c>
      <c r="AA13" s="294" t="s">
        <v>51</v>
      </c>
      <c r="AB13" s="88"/>
      <c r="AC13" s="122" t="s">
        <v>49</v>
      </c>
      <c r="AD13" s="123" t="s">
        <v>52</v>
      </c>
      <c r="AE13" s="294" t="s">
        <v>51</v>
      </c>
    </row>
    <row r="14" spans="1:39" ht="15.75" thickBot="1" x14ac:dyDescent="0.3">
      <c r="B14" s="49">
        <v>2015</v>
      </c>
      <c r="C14" s="49">
        <f t="shared" ref="C14:C45" si="0">B14+1</f>
        <v>2016</v>
      </c>
      <c r="D14" s="87"/>
      <c r="E14" s="88"/>
      <c r="F14" s="88"/>
      <c r="G14" s="69"/>
      <c r="H14" s="70"/>
      <c r="I14" s="70"/>
      <c r="J14" s="54">
        <f>'Misc Alt Schedule @ 7%'!J14+'Safety Alt Schedule @ 7%'!J14</f>
        <v>24796022</v>
      </c>
      <c r="K14" s="88"/>
      <c r="L14" s="88"/>
      <c r="M14" s="40"/>
      <c r="N14" s="115"/>
      <c r="O14" s="116"/>
      <c r="P14" s="40"/>
      <c r="Q14" s="115"/>
      <c r="R14" s="116"/>
      <c r="S14" s="429"/>
      <c r="T14" s="115"/>
      <c r="U14" s="116"/>
      <c r="V14" s="87"/>
      <c r="W14" s="88"/>
      <c r="X14" s="88"/>
      <c r="Y14" s="124">
        <f>'Misc Alt Schedule @ 7%'!Y14+'Safety Alt Schedule @ 7%'!AB14</f>
        <v>0</v>
      </c>
      <c r="Z14" s="125"/>
      <c r="AA14" s="295"/>
      <c r="AB14" s="111"/>
      <c r="AC14" s="124"/>
      <c r="AD14" s="125"/>
      <c r="AE14" s="295"/>
    </row>
    <row r="15" spans="1:39" ht="16.5" thickTop="1" thickBot="1" x14ac:dyDescent="0.3">
      <c r="B15" s="49">
        <f>B14+1</f>
        <v>2016</v>
      </c>
      <c r="C15" s="49">
        <f t="shared" si="0"/>
        <v>2017</v>
      </c>
      <c r="D15" s="87"/>
      <c r="E15" s="75"/>
      <c r="F15" s="75"/>
      <c r="G15" s="293">
        <f>'Misc Alt Schedule @ 7%'!G15+'Safety Alt Schedule @ 7%'!G15</f>
        <v>-67321034</v>
      </c>
      <c r="H15" s="245">
        <v>30</v>
      </c>
      <c r="I15" s="58">
        <f>'Misc Alt Schedule @ 7%'!I15+'Safety Alt Schedule @ 7%'!I15</f>
        <v>-2740368.7569445828</v>
      </c>
      <c r="J15" s="57">
        <f>'Misc Alt Schedule @ 7%'!J15+'Safety Alt Schedule @ 7%'!J15</f>
        <v>26783915</v>
      </c>
      <c r="K15" s="75"/>
      <c r="L15" s="75"/>
      <c r="M15" s="315">
        <f>'Misc Alt Schedule @ 7%'!M15+'Safety Alt Schedule @ 7%'!M15</f>
        <v>39516231.207000002</v>
      </c>
      <c r="N15" s="75"/>
      <c r="O15" s="76"/>
      <c r="P15" s="421">
        <f>'Misc Alt Schedule @ 7%'!P15+'Safety Alt Schedule @ 7%'!P15</f>
        <v>11975187</v>
      </c>
      <c r="Q15" s="75"/>
      <c r="R15" s="76"/>
      <c r="S15" s="421">
        <f>'Misc Alt Schedule @ 7%'!S15+'Safety Alt Schedule @ 7%'!S15</f>
        <v>12501914</v>
      </c>
      <c r="T15" s="75"/>
      <c r="U15" s="76"/>
      <c r="V15" s="421">
        <f>'Misc Alt Schedule @ 7%'!V15+'Safety Alt Schedule @ 7%'!V15</f>
        <v>26678934</v>
      </c>
      <c r="W15" s="75"/>
      <c r="X15" s="76"/>
      <c r="Y15" s="92">
        <f>'Misc Alt Schedule @ 7%'!Y15+'Safety Alt Schedule @ 7%'!AB15</f>
        <v>194930408.52599999</v>
      </c>
      <c r="Z15" s="255"/>
      <c r="AA15" s="296"/>
      <c r="AB15" s="111"/>
      <c r="AC15" s="92"/>
      <c r="AD15" s="255"/>
      <c r="AE15" s="296"/>
    </row>
    <row r="16" spans="1:39" ht="16.5" thickTop="1" thickBot="1" x14ac:dyDescent="0.3">
      <c r="A16" s="49">
        <v>1</v>
      </c>
      <c r="B16" s="49">
        <f>B15+1</f>
        <v>2017</v>
      </c>
      <c r="C16" s="49">
        <f t="shared" si="0"/>
        <v>2018</v>
      </c>
      <c r="D16" s="293">
        <f>'Misc Alt Schedule @ 7%'!D16+'Safety Alt Schedule @ 7%'!D16</f>
        <v>315444727</v>
      </c>
      <c r="E16" s="245">
        <v>17</v>
      </c>
      <c r="F16" s="56">
        <f>'Misc Alt Schedule @ 7%'!F16+'Safety Alt Schedule @ 7%'!F16</f>
        <v>26500896.923967965</v>
      </c>
      <c r="G16" s="117">
        <f>'Misc Alt Schedule @ 7%'!G16+'Safety Alt Schedule @ 7%'!G16</f>
        <v>-69528836.749256343</v>
      </c>
      <c r="H16" s="71">
        <f>H15-1</f>
        <v>29</v>
      </c>
      <c r="I16" s="303">
        <f>'Misc Alt Schedule @ 7%'!I16+'Safety Alt Schedule @ 7%'!I16</f>
        <v>-5249804.5666160956</v>
      </c>
      <c r="J16" s="302">
        <f>'Misc Alt Schedule @ 7%'!J16+'Safety Alt Schedule @ 7%'!J16</f>
        <v>28921514</v>
      </c>
      <c r="K16" s="63">
        <v>20</v>
      </c>
      <c r="L16" s="56">
        <f>-PMT(1.07/1.03-1,K16,J16*1.07^0.5,0,1)</f>
        <v>2097223.8853948261</v>
      </c>
      <c r="M16" s="299">
        <f>'Misc Alt Schedule @ 7%'!M16+'Safety Alt Schedule @ 7%'!M16</f>
        <v>42282367.391490005</v>
      </c>
      <c r="N16" s="71">
        <v>20</v>
      </c>
      <c r="O16" s="303">
        <f>-PMT(1.07/1.03-1,N16,M16*1.07^0.5,0,1)</f>
        <v>3066077.0672127386</v>
      </c>
      <c r="P16" s="299">
        <f>'Misc Alt Schedule @ 7%'!P16+'Safety Alt Schedule @ 7%'!P16</f>
        <v>12813450.09</v>
      </c>
      <c r="Q16" s="71">
        <v>20</v>
      </c>
      <c r="R16" s="303">
        <f>'Misc Alt Schedule @ 7%'!R16+'Safety Alt Schedule @ 7%'!R16</f>
        <v>929158.60432003951</v>
      </c>
      <c r="S16" s="299">
        <f>'Misc Alt Schedule @ 7%'!S16+'Safety Alt Schedule @ 7%'!S16</f>
        <v>13377047.98</v>
      </c>
      <c r="T16" s="71">
        <v>20</v>
      </c>
      <c r="U16" s="303">
        <f>'Misc Alt Schedule @ 7%'!U16+'Safety Alt Schedule @ 7%'!U16</f>
        <v>970027.52137141256</v>
      </c>
      <c r="V16" s="299">
        <f>'Misc Alt Schedule @ 7%'!V16+'Safety Alt Schedule @ 7%'!V16</f>
        <v>28546459.380000003</v>
      </c>
      <c r="W16" s="71">
        <v>20</v>
      </c>
      <c r="X16" s="303">
        <f>'Misc Alt Schedule @ 7%'!X16+'Safety Alt Schedule @ 7%'!X16</f>
        <v>2070027.0551254395</v>
      </c>
      <c r="Y16" s="302">
        <f>'Misc Alt Schedule @ 7%'!Y16+'Safety Alt Schedule @ 7%'!AB16</f>
        <v>371856729.09223366</v>
      </c>
      <c r="Z16" s="245">
        <v>20</v>
      </c>
      <c r="AA16" s="301">
        <f>'Misc Alt Schedule @ 7%'!AA16+'Safety Alt Schedule @ 7%'!AD16</f>
        <v>30470113.894000754</v>
      </c>
      <c r="AB16" s="111"/>
      <c r="AC16" s="293">
        <f>'Misc Alt Schedule @ 7%'!AC16+'Safety Alt Schedule @ 7%'!AF16</f>
        <v>371856729.09223366</v>
      </c>
      <c r="AD16" s="245">
        <v>20</v>
      </c>
      <c r="AE16" s="55">
        <f>'Misc Alt Schedule @ 7%'!AE16+'Safety Alt Schedule @ 7%'!AH16</f>
        <v>35180811.315084897</v>
      </c>
      <c r="AG16" s="73"/>
      <c r="AH16" s="80"/>
      <c r="AM16" s="216">
        <v>500000</v>
      </c>
    </row>
    <row r="17" spans="1:39" ht="15.75" thickTop="1" x14ac:dyDescent="0.25">
      <c r="A17" s="49">
        <f>A16+1</f>
        <v>2</v>
      </c>
      <c r="B17" s="49">
        <f t="shared" ref="B17:B45" si="1">B16+1</f>
        <v>2018</v>
      </c>
      <c r="C17" s="49">
        <f t="shared" si="0"/>
        <v>2019</v>
      </c>
      <c r="D17" s="54">
        <f>'Misc Alt Schedule @ 7%'!D17+'Safety Alt Schedule @ 7%'!D17</f>
        <v>311626366.78127772</v>
      </c>
      <c r="E17" s="63">
        <f>E16-1</f>
        <v>16</v>
      </c>
      <c r="F17" s="56">
        <f>'Misc Alt Schedule @ 7%'!F17+'Safety Alt Schedule @ 7%'!F17</f>
        <v>27295923.831687007</v>
      </c>
      <c r="G17" s="54">
        <f>'Misc Alt Schedule @ 7%'!G17+'Safety Alt Schedule @ 7%'!G17</f>
        <v>-69300386.279847234</v>
      </c>
      <c r="H17" s="63">
        <f t="shared" ref="H17:H44" si="2">H16-1</f>
        <v>28</v>
      </c>
      <c r="I17" s="55">
        <f>'Misc Alt Schedule @ 7%'!I17+'Safety Alt Schedule @ 7%'!I17</f>
        <v>-5407298.7036145767</v>
      </c>
      <c r="J17" s="56">
        <f>'Misc Alt Schedule @ 7%'!J17+'Safety Alt Schedule @ 7%'!J17</f>
        <v>28826486.760106001</v>
      </c>
      <c r="K17" s="63">
        <f>K16-1</f>
        <v>19</v>
      </c>
      <c r="L17" s="56">
        <f>-PMT(1.07/1.03-1,K17,J17*1.07^0.5,0,1)</f>
        <v>2163882.7840244989</v>
      </c>
      <c r="M17" s="54">
        <f>'Misc Alt Schedule @ 7%'!M17+'Safety Alt Schedule @ 7%'!M17</f>
        <v>42070558.329256594</v>
      </c>
      <c r="N17" s="63">
        <f>N16-1</f>
        <v>19</v>
      </c>
      <c r="O17" s="55">
        <f>-PMT(1.07/1.03-1,N17,M17*1.07^0.5,0,1)</f>
        <v>3158059.3792291214</v>
      </c>
      <c r="P17" s="54">
        <f>'Misc Alt Schedule @ 7%'!P17+'Safety Alt Schedule @ 7%'!P17</f>
        <v>12749262.462509593</v>
      </c>
      <c r="Q17" s="63">
        <f>Q16-1</f>
        <v>19</v>
      </c>
      <c r="R17" s="55">
        <f>'Misc Alt Schedule @ 7%'!R17+'Safety Alt Schedule @ 7%'!R17</f>
        <v>957033.36244964087</v>
      </c>
      <c r="S17" s="54">
        <f>'Misc Alt Schedule @ 7%'!S17+'Safety Alt Schedule @ 7%'!S17</f>
        <v>13310037.068291556</v>
      </c>
      <c r="T17" s="63">
        <f>T16-1</f>
        <v>19</v>
      </c>
      <c r="U17" s="55">
        <f>'Misc Alt Schedule @ 7%'!U17+'Safety Alt Schedule @ 7%'!U17</f>
        <v>999128.34701255499</v>
      </c>
      <c r="V17" s="54">
        <f>'Misc Alt Schedule @ 7%'!V17+'Safety Alt Schedule @ 7%'!V17</f>
        <v>28403458.900973395</v>
      </c>
      <c r="W17" s="63">
        <f>W16-1</f>
        <v>19</v>
      </c>
      <c r="X17" s="55">
        <f>'Misc Alt Schedule @ 7%'!X17+'Safety Alt Schedule @ 7%'!X17</f>
        <v>2132127.8667792031</v>
      </c>
      <c r="Y17" s="56">
        <f>'Misc Alt Schedule @ 7%'!Y17+'Safety Alt Schedule @ 7%'!AB17</f>
        <v>367685784.02256763</v>
      </c>
      <c r="Z17" s="63">
        <f>Z16-1</f>
        <v>19</v>
      </c>
      <c r="AA17" s="297">
        <f>'Misc Alt Schedule @ 7%'!AA17+'Safety Alt Schedule @ 7%'!AD17</f>
        <v>31384217.310820784</v>
      </c>
      <c r="AB17" s="111"/>
      <c r="AC17" s="54">
        <f>'Misc Alt Schedule @ 7%'!AC17+'Safety Alt Schedule @ 7%'!AF17</f>
        <v>362826134.61851358</v>
      </c>
      <c r="AD17" s="63">
        <f>AD16-1</f>
        <v>19</v>
      </c>
      <c r="AE17" s="55">
        <f>'Misc Alt Schedule @ 7%'!AE17+'Safety Alt Schedule @ 7%'!AH17</f>
        <v>34836144.162651092</v>
      </c>
      <c r="AG17" s="73"/>
      <c r="AH17" s="80"/>
      <c r="AM17" s="216">
        <v>500000</v>
      </c>
    </row>
    <row r="18" spans="1:39" x14ac:dyDescent="0.25">
      <c r="A18" s="49">
        <f t="shared" ref="A18:A45" si="3">A17+1</f>
        <v>3</v>
      </c>
      <c r="B18" s="49">
        <f t="shared" si="1"/>
        <v>2019</v>
      </c>
      <c r="C18" s="49">
        <f t="shared" si="0"/>
        <v>2020</v>
      </c>
      <c r="D18" s="54">
        <f>'Misc Alt Schedule @ 7%'!D18+'Safety Alt Schedule @ 7%'!D18</f>
        <v>306697328.10383964</v>
      </c>
      <c r="E18" s="63">
        <f t="shared" ref="E18:E32" si="4">E17-1</f>
        <v>15</v>
      </c>
      <c r="F18" s="56">
        <f>'Misc Alt Schedule @ 7%'!F18+'Safety Alt Schedule @ 7%'!F18</f>
        <v>28114801.546637617</v>
      </c>
      <c r="G18" s="54">
        <f>'Misc Alt Schedule @ 7%'!G18+'Safety Alt Schedule @ 7%'!G18</f>
        <v>-68891508.628464341</v>
      </c>
      <c r="H18" s="63">
        <f t="shared" si="2"/>
        <v>27</v>
      </c>
      <c r="I18" s="55">
        <f>'Misc Alt Schedule @ 7%'!I18+'Safety Alt Schedule @ 7%'!I18</f>
        <v>-5569517.6647230145</v>
      </c>
      <c r="J18" s="56">
        <f>'Misc Alt Schedule @ 7%'!J18+'Safety Alt Schedule @ 7%'!J18</f>
        <v>28656408.253523134</v>
      </c>
      <c r="K18" s="63">
        <f t="shared" ref="K18:K35" si="5">K17-1</f>
        <v>18</v>
      </c>
      <c r="L18" s="56">
        <f t="shared" ref="L18:L35" si="6">-PMT(1.07/1.03-1,K18,J18*1.07^0.5,0,1)</f>
        <v>2232726.5208789618</v>
      </c>
      <c r="M18" s="54">
        <f>'Misc Alt Schedule @ 7%'!M18+'Safety Alt Schedule @ 7%'!M18</f>
        <v>41748775.389277712</v>
      </c>
      <c r="N18" s="63">
        <f t="shared" ref="N18:N35" si="7">N17-1</f>
        <v>18</v>
      </c>
      <c r="O18" s="55">
        <f t="shared" ref="O18:O35" si="8">-PMT(1.07/1.03-1,N18,M18*1.07^0.5,0,1)</f>
        <v>3252801.160605995</v>
      </c>
      <c r="P18" s="54">
        <f>'Misc Alt Schedule @ 7%'!P18+'Safety Alt Schedule @ 7%'!P18</f>
        <v>12651747.827081144</v>
      </c>
      <c r="Q18" s="63">
        <f t="shared" ref="Q18:Q35" si="9">Q17-1</f>
        <v>18</v>
      </c>
      <c r="R18" s="55">
        <f>'Misc Alt Schedule @ 7%'!R18+'Safety Alt Schedule @ 7%'!R18</f>
        <v>985744.36332312995</v>
      </c>
      <c r="S18" s="54">
        <f>'Misc Alt Schedule @ 7%'!S18+'Safety Alt Schedule @ 7%'!S18</f>
        <v>13208233.264654269</v>
      </c>
      <c r="T18" s="63">
        <f t="shared" ref="T18:T35" si="10">T17-1</f>
        <v>18</v>
      </c>
      <c r="U18" s="55">
        <f>'Misc Alt Schedule @ 7%'!U18+'Safety Alt Schedule @ 7%'!U18</f>
        <v>1029102.1974229319</v>
      </c>
      <c r="V18" s="54">
        <f>'Misc Alt Schedule @ 7%'!V18+'Safety Alt Schedule @ 7%'!V18</f>
        <v>28186210.809346128</v>
      </c>
      <c r="W18" s="63">
        <f t="shared" ref="W18:W35" si="11">W17-1</f>
        <v>18</v>
      </c>
      <c r="X18" s="55">
        <f>'Misc Alt Schedule @ 7%'!X18+'Safety Alt Schedule @ 7%'!X18</f>
        <v>2196091.7027825792</v>
      </c>
      <c r="Y18" s="56">
        <f>'Misc Alt Schedule @ 7%'!Y18+'Safety Alt Schedule @ 7%'!AB18</f>
        <v>362257195.01925772</v>
      </c>
      <c r="Z18" s="63">
        <f t="shared" ref="Z18:Z45" si="12">Z17-1</f>
        <v>18</v>
      </c>
      <c r="AA18" s="297">
        <f>'Misc Alt Schedule @ 7%'!AA18+'Safety Alt Schedule @ 7%'!AD18</f>
        <v>32325743.8301454</v>
      </c>
      <c r="AB18" s="111"/>
      <c r="AC18" s="54">
        <f>'Misc Alt Schedule @ 7%'!AC18+'Safety Alt Schedule @ 7%'!AF18</f>
        <v>353054169.50558168</v>
      </c>
      <c r="AD18" s="63">
        <f t="shared" ref="AD18:AD45" si="13">AD17-1</f>
        <v>18</v>
      </c>
      <c r="AE18" s="55">
        <f>'Misc Alt Schedule @ 7%'!AE18+'Safety Alt Schedule @ 7%'!AH18</f>
        <v>34504957.093071431</v>
      </c>
      <c r="AG18" s="73"/>
      <c r="AH18" s="80"/>
      <c r="AM18" s="216">
        <v>500000</v>
      </c>
    </row>
    <row r="19" spans="1:39" x14ac:dyDescent="0.25">
      <c r="A19" s="49">
        <f t="shared" si="3"/>
        <v>4</v>
      </c>
      <c r="B19" s="49">
        <f t="shared" si="1"/>
        <v>2020</v>
      </c>
      <c r="C19" s="49">
        <f t="shared" si="0"/>
        <v>2021</v>
      </c>
      <c r="D19" s="54">
        <f>'Misc Alt Schedule @ 7%'!D19+'Safety Alt Schedule @ 7%'!D19</f>
        <v>300549581.04001272</v>
      </c>
      <c r="E19" s="63">
        <f t="shared" si="4"/>
        <v>14</v>
      </c>
      <c r="F19" s="56">
        <f>'Misc Alt Schedule @ 7%'!F19+'Safety Alt Schedule @ 7%'!F19</f>
        <v>28958245.593036745</v>
      </c>
      <c r="G19" s="54">
        <f>'Misc Alt Schedule @ 7%'!G19+'Safety Alt Schedule @ 7%'!G19</f>
        <v>-68283772.954556584</v>
      </c>
      <c r="H19" s="63">
        <f t="shared" si="2"/>
        <v>26</v>
      </c>
      <c r="I19" s="55">
        <f>'Misc Alt Schedule @ 7%'!I19+'Safety Alt Schedule @ 7%'!I19</f>
        <v>-5736603.1946647037</v>
      </c>
      <c r="J19" s="56">
        <f>'Misc Alt Schedule @ 7%'!J19+'Safety Alt Schedule @ 7%'!J19</f>
        <v>28403611.908538826</v>
      </c>
      <c r="K19" s="63">
        <f t="shared" si="5"/>
        <v>17</v>
      </c>
      <c r="L19" s="56">
        <f t="shared" si="6"/>
        <v>2303829.1601742511</v>
      </c>
      <c r="M19" s="54">
        <f>'Misc Alt Schedule @ 7%'!M19+'Safety Alt Schedule @ 7%'!M19</f>
        <v>41306465.982809499</v>
      </c>
      <c r="N19" s="63">
        <f t="shared" si="7"/>
        <v>17</v>
      </c>
      <c r="O19" s="55">
        <f t="shared" si="8"/>
        <v>3350385.1954241749</v>
      </c>
      <c r="P19" s="54">
        <f>'Misc Alt Schedule @ 7%'!P19+'Safety Alt Schedule @ 7%'!P19</f>
        <v>12517708.27693858</v>
      </c>
      <c r="Q19" s="63">
        <f t="shared" si="9"/>
        <v>17</v>
      </c>
      <c r="R19" s="55">
        <f>'Misc Alt Schedule @ 7%'!R19+'Safety Alt Schedule @ 7%'!R19</f>
        <v>1015316.6942228239</v>
      </c>
      <c r="S19" s="54">
        <f>'Misc Alt Schedule @ 7%'!S19+'Safety Alt Schedule @ 7%'!S19</f>
        <v>13068298.002809837</v>
      </c>
      <c r="T19" s="63">
        <f t="shared" si="10"/>
        <v>17</v>
      </c>
      <c r="U19" s="55">
        <f>'Misc Alt Schedule @ 7%'!U19+'Safety Alt Schedule @ 7%'!U19</f>
        <v>1059975.2633456201</v>
      </c>
      <c r="V19" s="54">
        <f>'Misc Alt Schedule @ 7%'!V19+'Safety Alt Schedule @ 7%'!V19</f>
        <v>27887590.644864094</v>
      </c>
      <c r="W19" s="63">
        <f t="shared" si="11"/>
        <v>17</v>
      </c>
      <c r="X19" s="55">
        <f>'Misc Alt Schedule @ 7%'!X19+'Safety Alt Schedule @ 7%'!X19</f>
        <v>2261974.4538660571</v>
      </c>
      <c r="Y19" s="56">
        <f>'Misc Alt Schedule @ 7%'!Y19+'Safety Alt Schedule @ 7%'!AB19</f>
        <v>355449482.90141702</v>
      </c>
      <c r="Z19" s="63">
        <f t="shared" si="12"/>
        <v>17</v>
      </c>
      <c r="AA19" s="297">
        <f>'Misc Alt Schedule @ 7%'!AA19+'Safety Alt Schedule @ 7%'!AD19</f>
        <v>33295516.145049766</v>
      </c>
      <c r="AB19" s="111"/>
      <c r="AC19" s="54">
        <f>'Misc Alt Schedule @ 7%'!AC19+'Safety Alt Schedule @ 7%'!AF19</f>
        <v>342075756.22090739</v>
      </c>
      <c r="AD19" s="63">
        <f t="shared" si="13"/>
        <v>17</v>
      </c>
      <c r="AE19" s="55">
        <f>'Misc Alt Schedule @ 7%'!AE19+'Safety Alt Schedule @ 7%'!AH19</f>
        <v>33871715.905824848</v>
      </c>
      <c r="AG19" s="73"/>
      <c r="AH19" s="80"/>
      <c r="AM19" s="216">
        <v>500000</v>
      </c>
    </row>
    <row r="20" spans="1:39" x14ac:dyDescent="0.25">
      <c r="A20" s="49">
        <f t="shared" si="3"/>
        <v>5</v>
      </c>
      <c r="B20" s="49">
        <f t="shared" si="1"/>
        <v>2021</v>
      </c>
      <c r="C20" s="49">
        <f t="shared" si="0"/>
        <v>2022</v>
      </c>
      <c r="D20" s="54">
        <f>'Misc Alt Schedule @ 7%'!D20+'Safety Alt Schedule @ 7%'!D20</f>
        <v>293066251.54625028</v>
      </c>
      <c r="E20" s="63">
        <f t="shared" si="4"/>
        <v>13</v>
      </c>
      <c r="F20" s="56">
        <f>'Misc Alt Schedule @ 7%'!F20+'Safety Alt Schedule @ 7%'!F20</f>
        <v>29826992.960827854</v>
      </c>
      <c r="G20" s="54">
        <f>'Misc Alt Schedule @ 7%'!G20+'Safety Alt Schedule @ 7%'!G20</f>
        <v>-67457219.140474468</v>
      </c>
      <c r="H20" s="63">
        <f t="shared" si="2"/>
        <v>25</v>
      </c>
      <c r="I20" s="55">
        <f>'Misc Alt Schedule @ 7%'!I20+'Safety Alt Schedule @ 7%'!I20</f>
        <v>-5908701.2905046474</v>
      </c>
      <c r="J20" s="56">
        <f>'Misc Alt Schedule @ 7%'!J20+'Safety Alt Schedule @ 7%'!J20</f>
        <v>28059795.028760746</v>
      </c>
      <c r="K20" s="63">
        <f t="shared" si="5"/>
        <v>16</v>
      </c>
      <c r="L20" s="56">
        <f t="shared" si="6"/>
        <v>2377267.3466782263</v>
      </c>
      <c r="M20" s="54">
        <f>'Misc Alt Schedule @ 7%'!M20+'Safety Alt Schedule @ 7%'!M20</f>
        <v>40732253.207376987</v>
      </c>
      <c r="N20" s="63">
        <f t="shared" si="7"/>
        <v>16</v>
      </c>
      <c r="O20" s="55">
        <f t="shared" si="8"/>
        <v>3450896.7512869001</v>
      </c>
      <c r="P20" s="54">
        <f>'Misc Alt Schedule @ 7%'!P20+'Safety Alt Schedule @ 7%'!P20</f>
        <v>12343696.101344887</v>
      </c>
      <c r="Q20" s="63">
        <f t="shared" si="9"/>
        <v>16</v>
      </c>
      <c r="R20" s="55">
        <f>'Misc Alt Schedule @ 7%'!R20+'Safety Alt Schedule @ 7%'!R20</f>
        <v>1045776.1950495085</v>
      </c>
      <c r="S20" s="54">
        <f>'Misc Alt Schedule @ 7%'!S20+'Safety Alt Schedule @ 7%'!S20</f>
        <v>12886631.924925189</v>
      </c>
      <c r="T20" s="63">
        <f t="shared" si="10"/>
        <v>16</v>
      </c>
      <c r="U20" s="55">
        <f>'Misc Alt Schedule @ 7%'!U20+'Safety Alt Schedule @ 7%'!U20</f>
        <v>1091774.5212459886</v>
      </c>
      <c r="V20" s="54">
        <f>'Misc Alt Schedule @ 7%'!V20+'Safety Alt Schedule @ 7%'!V20</f>
        <v>27499917.421234224</v>
      </c>
      <c r="W20" s="63">
        <f t="shared" si="11"/>
        <v>16</v>
      </c>
      <c r="X20" s="55">
        <f>'Misc Alt Schedule @ 7%'!X20+'Safety Alt Schedule @ 7%'!X20</f>
        <v>2329833.6874820385</v>
      </c>
      <c r="Y20" s="56">
        <f>'Misc Alt Schedule @ 7%'!Y20+'Safety Alt Schedule @ 7%'!AB20</f>
        <v>347131326.08941782</v>
      </c>
      <c r="Z20" s="63">
        <f t="shared" si="12"/>
        <v>16</v>
      </c>
      <c r="AA20" s="297">
        <f>'Misc Alt Schedule @ 7%'!AA20+'Safety Alt Schedule @ 7%'!AD20</f>
        <v>34294381.629401267</v>
      </c>
      <c r="AB20" s="111"/>
      <c r="AC20" s="54">
        <f>'Misc Alt Schedule @ 7%'!AC20+'Safety Alt Schedule @ 7%'!AF20</f>
        <v>330983883.7837292</v>
      </c>
      <c r="AD20" s="63">
        <f t="shared" si="13"/>
        <v>16</v>
      </c>
      <c r="AE20" s="55">
        <f>'Misc Alt Schedule @ 7%'!AE20+'Safety Alt Schedule @ 7%'!AH20</f>
        <v>33871715.90582484</v>
      </c>
      <c r="AG20" s="73"/>
      <c r="AH20" s="80"/>
      <c r="AM20" s="216">
        <v>500000</v>
      </c>
    </row>
    <row r="21" spans="1:39" x14ac:dyDescent="0.25">
      <c r="A21" s="49">
        <f t="shared" si="3"/>
        <v>6</v>
      </c>
      <c r="B21" s="49">
        <f t="shared" si="1"/>
        <v>2022</v>
      </c>
      <c r="C21" s="49">
        <f t="shared" si="0"/>
        <v>2023</v>
      </c>
      <c r="D21" s="54">
        <f>'Misc Alt Schedule @ 7%'!D21+'Safety Alt Schedule @ 7%'!D21</f>
        <v>284120935.89830279</v>
      </c>
      <c r="E21" s="63">
        <f t="shared" si="4"/>
        <v>12</v>
      </c>
      <c r="F21" s="56">
        <f>'Misc Alt Schedule @ 7%'!F21+'Safety Alt Schedule @ 7%'!F21</f>
        <v>30721802.74965268</v>
      </c>
      <c r="G21" s="54">
        <f>'Misc Alt Schedule @ 7%'!G21+'Safety Alt Schedule @ 7%'!G21</f>
        <v>-66390238.686765984</v>
      </c>
      <c r="H21" s="63">
        <f t="shared" si="2"/>
        <v>24</v>
      </c>
      <c r="I21" s="55">
        <f>'Misc Alt Schedule @ 7%'!I21+'Safety Alt Schedule @ 7%'!I21</f>
        <v>-6085962.3292197865</v>
      </c>
      <c r="J21" s="56">
        <f>'Misc Alt Schedule @ 7%'!J21+'Safety Alt Schedule @ 7%'!J21</f>
        <v>27615969.249811746</v>
      </c>
      <c r="K21" s="63">
        <f t="shared" si="5"/>
        <v>15</v>
      </c>
      <c r="L21" s="56">
        <f t="shared" si="6"/>
        <v>2453120.396668667</v>
      </c>
      <c r="M21" s="54">
        <f>'Misc Alt Schedule @ 7%'!M21+'Safety Alt Schedule @ 7%'!M21</f>
        <v>40013875.575837314</v>
      </c>
      <c r="N21" s="63">
        <f t="shared" si="7"/>
        <v>15</v>
      </c>
      <c r="O21" s="55">
        <f t="shared" si="8"/>
        <v>3554423.653825507</v>
      </c>
      <c r="P21" s="54">
        <f>'Misc Alt Schedule @ 7%'!P21+'Safety Alt Schedule @ 7%'!P21</f>
        <v>12125995.520810258</v>
      </c>
      <c r="Q21" s="63">
        <f t="shared" si="9"/>
        <v>15</v>
      </c>
      <c r="R21" s="55">
        <f>'Misc Alt Schedule @ 7%'!R21+'Safety Alt Schedule @ 7%'!R21</f>
        <v>1077149.480900994</v>
      </c>
      <c r="S21" s="54">
        <f>'Misc Alt Schedule @ 7%'!S21+'Safety Alt Schedule @ 7%'!S21</f>
        <v>12659355.813446177</v>
      </c>
      <c r="T21" s="63">
        <f t="shared" si="10"/>
        <v>15</v>
      </c>
      <c r="U21" s="55">
        <f>'Misc Alt Schedule @ 7%'!U21+'Safety Alt Schedule @ 7%'!U21</f>
        <v>1124527.7568833684</v>
      </c>
      <c r="V21" s="54">
        <f>'Misc Alt Schedule @ 7%'!V21+'Safety Alt Schedule @ 7%'!V21</f>
        <v>27014912.934887156</v>
      </c>
      <c r="W21" s="63">
        <f t="shared" si="11"/>
        <v>15</v>
      </c>
      <c r="X21" s="55">
        <f>'Misc Alt Schedule @ 7%'!X21+'Safety Alt Schedule @ 7%'!X21</f>
        <v>2399728.6981065003</v>
      </c>
      <c r="Y21" s="56">
        <f>'Misc Alt Schedule @ 7%'!Y21+'Safety Alt Schedule @ 7%'!AB21</f>
        <v>337160806.30632949</v>
      </c>
      <c r="Z21" s="63">
        <f t="shared" si="12"/>
        <v>15</v>
      </c>
      <c r="AA21" s="297">
        <f>'Misc Alt Schedule @ 7%'!AA21+'Safety Alt Schedule @ 7%'!AD21</f>
        <v>35323213.078283295</v>
      </c>
      <c r="AB21" s="111"/>
      <c r="AC21" s="54">
        <f>'Misc Alt Schedule @ 7%'!AC21+'Safety Alt Schedule @ 7%'!AF21</f>
        <v>319115580.27594852</v>
      </c>
      <c r="AD21" s="63">
        <f t="shared" si="13"/>
        <v>15</v>
      </c>
      <c r="AE21" s="55">
        <f>'Misc Alt Schedule @ 7%'!AE21+'Safety Alt Schedule @ 7%'!AH21</f>
        <v>33871715.90582484</v>
      </c>
      <c r="AG21" s="73"/>
      <c r="AH21" s="80"/>
      <c r="AM21" s="216">
        <v>500000</v>
      </c>
    </row>
    <row r="22" spans="1:39" x14ac:dyDescent="0.25">
      <c r="A22" s="49">
        <f t="shared" si="3"/>
        <v>7</v>
      </c>
      <c r="B22" s="49">
        <f t="shared" si="1"/>
        <v>2023</v>
      </c>
      <c r="C22" s="49">
        <f t="shared" si="0"/>
        <v>2024</v>
      </c>
      <c r="D22" s="54">
        <f>'Misc Alt Schedule @ 7%'!D22+'Safety Alt Schedule @ 7%'!D22</f>
        <v>273576963.04134172</v>
      </c>
      <c r="E22" s="63">
        <f t="shared" si="4"/>
        <v>11</v>
      </c>
      <c r="F22" s="56">
        <f>'Misc Alt Schedule @ 7%'!F22+'Safety Alt Schedule @ 7%'!F22</f>
        <v>31643456.832142264</v>
      </c>
      <c r="G22" s="54">
        <f>'Misc Alt Schedule @ 7%'!G22+'Safety Alt Schedule @ 7%'!G22</f>
        <v>-65059446.542352051</v>
      </c>
      <c r="H22" s="63">
        <f t="shared" si="2"/>
        <v>23</v>
      </c>
      <c r="I22" s="55">
        <f>'Misc Alt Schedule @ 7%'!I22+'Safety Alt Schedule @ 7%'!I22</f>
        <v>-6268541.1990963798</v>
      </c>
      <c r="J22" s="56">
        <f>'Misc Alt Schedule @ 7%'!J22+'Safety Alt Schedule @ 7%'!J22</f>
        <v>27062407.225258388</v>
      </c>
      <c r="K22" s="63">
        <f t="shared" si="5"/>
        <v>14</v>
      </c>
      <c r="L22" s="56">
        <f t="shared" si="6"/>
        <v>2531470.3920740169</v>
      </c>
      <c r="M22" s="54">
        <f>'Misc Alt Schedule @ 7%'!M22+'Safety Alt Schedule @ 7%'!M22</f>
        <v>39138122.449408188</v>
      </c>
      <c r="N22" s="63">
        <f t="shared" si="7"/>
        <v>14</v>
      </c>
      <c r="O22" s="55">
        <f t="shared" si="8"/>
        <v>3661056.3634402719</v>
      </c>
      <c r="P22" s="54">
        <f>'Misc Alt Schedule @ 7%'!P22+'Safety Alt Schedule @ 7%'!P22</f>
        <v>11860603.120409338</v>
      </c>
      <c r="Q22" s="63">
        <f t="shared" si="9"/>
        <v>14</v>
      </c>
      <c r="R22" s="55">
        <f>'Misc Alt Schedule @ 7%'!R22+'Safety Alt Schedule @ 7%'!R22</f>
        <v>1109463.9653280238</v>
      </c>
      <c r="S22" s="54">
        <f>'Misc Alt Schedule @ 7%'!S22+'Safety Alt Schedule @ 7%'!S22</f>
        <v>12382290.163776919</v>
      </c>
      <c r="T22" s="63">
        <f t="shared" si="10"/>
        <v>14</v>
      </c>
      <c r="U22" s="55">
        <f>'Misc Alt Schedule @ 7%'!U22+'Safety Alt Schedule @ 7%'!U22</f>
        <v>1158263.5895898694</v>
      </c>
      <c r="V22" s="54">
        <f>'Misc Alt Schedule @ 7%'!V22+'Safety Alt Schedule @ 7%'!V22</f>
        <v>26423658.173320789</v>
      </c>
      <c r="W22" s="63">
        <f t="shared" si="11"/>
        <v>14</v>
      </c>
      <c r="X22" s="55">
        <f>'Misc Alt Schedule @ 7%'!X22+'Safety Alt Schedule @ 7%'!X22</f>
        <v>2471720.5590496948</v>
      </c>
      <c r="Y22" s="56">
        <f>'Misc Alt Schedule @ 7%'!Y22+'Safety Alt Schedule @ 7%'!AB22</f>
        <v>325384597.6311633</v>
      </c>
      <c r="Z22" s="63">
        <f t="shared" si="12"/>
        <v>14</v>
      </c>
      <c r="AA22" s="297">
        <f>'Misc Alt Schedule @ 7%'!AA22+'Safety Alt Schedule @ 7%'!AD22</f>
        <v>36382909.470631793</v>
      </c>
      <c r="AB22" s="111"/>
      <c r="AC22" s="54">
        <f>'Misc Alt Schedule @ 7%'!AC22+'Safety Alt Schedule @ 7%'!AF22</f>
        <v>306416495.52262318</v>
      </c>
      <c r="AD22" s="63">
        <f t="shared" si="13"/>
        <v>14</v>
      </c>
      <c r="AE22" s="55">
        <f>'Misc Alt Schedule @ 7%'!AE22+'Safety Alt Schedule @ 7%'!AH22</f>
        <v>33871715.905824833</v>
      </c>
      <c r="AG22" s="73"/>
      <c r="AH22" s="80"/>
      <c r="AM22" s="216">
        <v>500000</v>
      </c>
    </row>
    <row r="23" spans="1:39" x14ac:dyDescent="0.25">
      <c r="A23" s="49">
        <f t="shared" si="3"/>
        <v>8</v>
      </c>
      <c r="B23" s="49">
        <f t="shared" si="1"/>
        <v>2024</v>
      </c>
      <c r="C23" s="49">
        <f t="shared" si="0"/>
        <v>2025</v>
      </c>
      <c r="D23" s="54">
        <f>'Misc Alt Schedule @ 7%'!D23+'Safety Alt Schedule @ 7%'!D23</f>
        <v>261286600.92862859</v>
      </c>
      <c r="E23" s="63">
        <f t="shared" si="4"/>
        <v>10</v>
      </c>
      <c r="F23" s="56">
        <f>'Misc Alt Schedule @ 7%'!F23+'Safety Alt Schedule @ 7%'!F23</f>
        <v>32592760.537106536</v>
      </c>
      <c r="G23" s="54">
        <f>'Misc Alt Schedule @ 7%'!G23+'Safety Alt Schedule @ 7%'!G23</f>
        <v>-63439543.185729414</v>
      </c>
      <c r="H23" s="63">
        <f t="shared" si="2"/>
        <v>22</v>
      </c>
      <c r="I23" s="55">
        <f>'Misc Alt Schedule @ 7%'!I23+'Safety Alt Schedule @ 7%'!I23</f>
        <v>-6456597.4350692723</v>
      </c>
      <c r="J23" s="56">
        <f>'Misc Alt Schedule @ 7%'!J23+'Safety Alt Schedule @ 7%'!J23</f>
        <v>26388585.257314853</v>
      </c>
      <c r="K23" s="63">
        <f t="shared" si="5"/>
        <v>13</v>
      </c>
      <c r="L23" s="56">
        <f t="shared" si="6"/>
        <v>2612402.2779063452</v>
      </c>
      <c r="M23" s="54">
        <f>'Misc Alt Schedule @ 7%'!M23+'Safety Alt Schedule @ 7%'!M23</f>
        <v>38090764.871626891</v>
      </c>
      <c r="N23" s="63">
        <f t="shared" si="7"/>
        <v>13</v>
      </c>
      <c r="O23" s="55">
        <f t="shared" si="8"/>
        <v>3770888.0543434811</v>
      </c>
      <c r="P23" s="54">
        <f>'Misc Alt Schedule @ 7%'!P23+'Safety Alt Schedule @ 7%'!P23</f>
        <v>11543206.889374627</v>
      </c>
      <c r="Q23" s="63">
        <f t="shared" si="9"/>
        <v>13</v>
      </c>
      <c r="R23" s="55">
        <f>'Misc Alt Schedule @ 7%'!R23+'Safety Alt Schedule @ 7%'!R23</f>
        <v>1142747.8842878649</v>
      </c>
      <c r="S23" s="54">
        <f>'Misc Alt Schedule @ 7%'!S23+'Safety Alt Schedule @ 7%'!S23</f>
        <v>12050933.301932499</v>
      </c>
      <c r="T23" s="63">
        <f t="shared" si="10"/>
        <v>13</v>
      </c>
      <c r="U23" s="55">
        <f>'Misc Alt Schedule @ 7%'!U23+'Safety Alt Schedule @ 7%'!U23</f>
        <v>1193011.4972775658</v>
      </c>
      <c r="V23" s="54">
        <f>'Misc Alt Schedule @ 7%'!V23+'Safety Alt Schedule @ 7%'!V23</f>
        <v>25716546.618434519</v>
      </c>
      <c r="W23" s="63">
        <f t="shared" si="11"/>
        <v>13</v>
      </c>
      <c r="X23" s="55">
        <f>'Misc Alt Schedule @ 7%'!X23+'Safety Alt Schedule @ 7%'!X23</f>
        <v>2545872.1758211865</v>
      </c>
      <c r="Y23" s="56">
        <f>'Misc Alt Schedule @ 7%'!Y23+'Safety Alt Schedule @ 7%'!AB23</f>
        <v>311637094.68158257</v>
      </c>
      <c r="Z23" s="63">
        <f t="shared" si="12"/>
        <v>13</v>
      </c>
      <c r="AA23" s="297">
        <f>'Misc Alt Schedule @ 7%'!AA23+'Safety Alt Schedule @ 7%'!AD23</f>
        <v>37474396.754750766</v>
      </c>
      <c r="AB23" s="111"/>
      <c r="AC23" s="54">
        <f>'Misc Alt Schedule @ 7%'!AC23+'Safety Alt Schedule @ 7%'!AF23</f>
        <v>292828474.83656514</v>
      </c>
      <c r="AD23" s="63">
        <f t="shared" si="13"/>
        <v>13</v>
      </c>
      <c r="AE23" s="55">
        <f>'Misc Alt Schedule @ 7%'!AE23+'Safety Alt Schedule @ 7%'!AH23</f>
        <v>33871715.905824833</v>
      </c>
      <c r="AG23" s="73"/>
      <c r="AH23" s="80"/>
      <c r="AM23" s="216">
        <v>500000</v>
      </c>
    </row>
    <row r="24" spans="1:39" x14ac:dyDescent="0.25">
      <c r="A24" s="49">
        <f t="shared" si="3"/>
        <v>9</v>
      </c>
      <c r="B24" s="49">
        <f t="shared" si="1"/>
        <v>2025</v>
      </c>
      <c r="C24" s="49">
        <f t="shared" si="0"/>
        <v>2026</v>
      </c>
      <c r="D24" s="54">
        <f>'Misc Alt Schedule @ 7%'!D24+'Safety Alt Schedule @ 7%'!D24</f>
        <v>247090202.6272375</v>
      </c>
      <c r="E24" s="63">
        <f t="shared" si="4"/>
        <v>9</v>
      </c>
      <c r="F24" s="56">
        <f>'Misc Alt Schedule @ 7%'!F24+'Safety Alt Schedule @ 7%'!F24</f>
        <v>33570543.353219718</v>
      </c>
      <c r="G24" s="54">
        <f>'Misc Alt Schedule @ 7%'!G24+'Safety Alt Schedule @ 7%'!G24</f>
        <v>-61503166.221941113</v>
      </c>
      <c r="H24" s="63">
        <f t="shared" si="2"/>
        <v>21</v>
      </c>
      <c r="I24" s="55">
        <f>'Misc Alt Schedule @ 7%'!I24+'Safety Alt Schedule @ 7%'!I24</f>
        <v>-6650295.3581213485</v>
      </c>
      <c r="J24" s="56">
        <f>'Misc Alt Schedule @ 7%'!J24+'Safety Alt Schedule @ 7%'!J24</f>
        <v>25583121.566480421</v>
      </c>
      <c r="K24" s="63">
        <f t="shared" si="5"/>
        <v>12</v>
      </c>
      <c r="L24" s="56">
        <f t="shared" si="6"/>
        <v>2696003.9630998312</v>
      </c>
      <c r="M24" s="54">
        <f>'Misc Alt Schedule @ 7%'!M24+'Safety Alt Schedule @ 7%'!M24</f>
        <v>36856481.478923708</v>
      </c>
      <c r="N24" s="63">
        <f t="shared" si="7"/>
        <v>12</v>
      </c>
      <c r="O24" s="55">
        <f t="shared" si="8"/>
        <v>3884014.6959737856</v>
      </c>
      <c r="P24" s="54">
        <f>'Misc Alt Schedule @ 7%'!P24+'Safety Alt Schedule @ 7%'!P24</f>
        <v>11169163.768683583</v>
      </c>
      <c r="Q24" s="63">
        <f t="shared" si="9"/>
        <v>12</v>
      </c>
      <c r="R24" s="55">
        <f>'Misc Alt Schedule @ 7%'!R24+'Safety Alt Schedule @ 7%'!R24</f>
        <v>1177030.3208165006</v>
      </c>
      <c r="S24" s="54">
        <f>'Misc Alt Schedule @ 7%'!S24+'Safety Alt Schedule @ 7%'!S24</f>
        <v>11660437.944559705</v>
      </c>
      <c r="T24" s="63">
        <f t="shared" si="10"/>
        <v>12</v>
      </c>
      <c r="U24" s="55">
        <f>'Misc Alt Schedule @ 7%'!U24+'Safety Alt Schedule @ 7%'!U24</f>
        <v>1228801.8421958929</v>
      </c>
      <c r="V24" s="54">
        <f>'Misc Alt Schedule @ 7%'!V24+'Safety Alt Schedule @ 7%'!V24</f>
        <v>24883234.225895651</v>
      </c>
      <c r="W24" s="63">
        <f t="shared" si="11"/>
        <v>12</v>
      </c>
      <c r="X24" s="55">
        <f>'Misc Alt Schedule @ 7%'!X24+'Safety Alt Schedule @ 7%'!X24</f>
        <v>2622248.3410958224</v>
      </c>
      <c r="Y24" s="56">
        <f>'Misc Alt Schedule @ 7%'!Y24+'Safety Alt Schedule @ 7%'!AB24</f>
        <v>295739475.38983941</v>
      </c>
      <c r="Z24" s="63">
        <f t="shared" si="12"/>
        <v>12</v>
      </c>
      <c r="AA24" s="297">
        <f>'Misc Alt Schedule @ 7%'!AA24+'Safety Alt Schedule @ 7%'!AD24</f>
        <v>38598628.657393269</v>
      </c>
      <c r="AB24" s="111"/>
      <c r="AC24" s="54">
        <f>'Misc Alt Schedule @ 7%'!AC24+'Safety Alt Schedule @ 7%'!AF24</f>
        <v>278289292.70248294</v>
      </c>
      <c r="AD24" s="63">
        <f t="shared" si="13"/>
        <v>12</v>
      </c>
      <c r="AE24" s="55">
        <f>'Misc Alt Schedule @ 7%'!AE24+'Safety Alt Schedule @ 7%'!AH24</f>
        <v>33871715.905824825</v>
      </c>
      <c r="AG24" s="73"/>
      <c r="AH24" s="80"/>
      <c r="AM24" s="216">
        <v>500000</v>
      </c>
    </row>
    <row r="25" spans="1:39" x14ac:dyDescent="0.25">
      <c r="A25" s="49">
        <f t="shared" si="3"/>
        <v>10</v>
      </c>
      <c r="B25" s="49">
        <f t="shared" si="1"/>
        <v>2026</v>
      </c>
      <c r="C25" s="49">
        <f t="shared" si="0"/>
        <v>2027</v>
      </c>
      <c r="D25" s="54">
        <f>'Misc Alt Schedule @ 7%'!D25+'Safety Alt Schedule @ 7%'!D25</f>
        <v>230815287.65211099</v>
      </c>
      <c r="E25" s="63">
        <f t="shared" si="4"/>
        <v>8</v>
      </c>
      <c r="F25" s="56">
        <f>'Misc Alt Schedule @ 7%'!F25+'Safety Alt Schedule @ 7%'!F25</f>
        <v>34577659.653816313</v>
      </c>
      <c r="G25" s="54">
        <f>'Misc Alt Schedule @ 7%'!G25+'Safety Alt Schedule @ 7%'!G25</f>
        <v>-59220730.704787143</v>
      </c>
      <c r="H25" s="63">
        <f t="shared" si="2"/>
        <v>20</v>
      </c>
      <c r="I25" s="55">
        <f>'Misc Alt Schedule @ 7%'!I25+'Safety Alt Schedule @ 7%'!I25</f>
        <v>-6849804.2188649885</v>
      </c>
      <c r="J25" s="56">
        <f>'Misc Alt Schedule @ 7%'!J25+'Safety Alt Schedule @ 7%'!J25</f>
        <v>24633709.871279411</v>
      </c>
      <c r="K25" s="63">
        <f t="shared" si="5"/>
        <v>11</v>
      </c>
      <c r="L25" s="56">
        <f t="shared" si="6"/>
        <v>2782366.4248720105</v>
      </c>
      <c r="M25" s="54">
        <f>'Misc Alt Schedule @ 7%'!M25+'Safety Alt Schedule @ 7%'!M25</f>
        <v>35418779.140719794</v>
      </c>
      <c r="N25" s="63">
        <f t="shared" si="7"/>
        <v>11</v>
      </c>
      <c r="O25" s="55">
        <f t="shared" si="8"/>
        <v>4000535.1368529997</v>
      </c>
      <c r="P25" s="54">
        <f>'Misc Alt Schedule @ 7%'!P25+'Safety Alt Schedule @ 7%'!P25</f>
        <v>10733475.60145575</v>
      </c>
      <c r="Q25" s="63">
        <f t="shared" si="9"/>
        <v>11</v>
      </c>
      <c r="R25" s="55">
        <f>'Misc Alt Schedule @ 7%'!R25+'Safety Alt Schedule @ 7%'!R25</f>
        <v>1212341.2304409959</v>
      </c>
      <c r="S25" s="54">
        <f>'Misc Alt Schedule @ 7%'!S25+'Safety Alt Schedule @ 7%'!S25</f>
        <v>11205586.091515575</v>
      </c>
      <c r="T25" s="63">
        <f t="shared" si="10"/>
        <v>11</v>
      </c>
      <c r="U25" s="55">
        <f>'Misc Alt Schedule @ 7%'!U25+'Safety Alt Schedule @ 7%'!U25</f>
        <v>1265665.8974617696</v>
      </c>
      <c r="V25" s="54">
        <f>'Misc Alt Schedule @ 7%'!V25+'Safety Alt Schedule @ 7%'!V25</f>
        <v>23912585.846204184</v>
      </c>
      <c r="W25" s="63">
        <f t="shared" si="11"/>
        <v>11</v>
      </c>
      <c r="X25" s="55">
        <f>'Misc Alt Schedule @ 7%'!X25+'Safety Alt Schedule @ 7%'!X25</f>
        <v>2700915.791328697</v>
      </c>
      <c r="Y25" s="56">
        <f>'Misc Alt Schedule @ 7%'!Y25+'Safety Alt Schedule @ 7%'!AB25</f>
        <v>277498693.49849856</v>
      </c>
      <c r="Z25" s="63">
        <f t="shared" si="12"/>
        <v>11</v>
      </c>
      <c r="AA25" s="297">
        <f>'Misc Alt Schedule @ 7%'!AA25+'Safety Alt Schedule @ 7%'!AD25</f>
        <v>39756587.517115071</v>
      </c>
      <c r="AB25" s="111"/>
      <c r="AC25" s="54">
        <f>'Misc Alt Schedule @ 7%'!AC25+'Safety Alt Schedule @ 7%'!AF25</f>
        <v>262732367.81901509</v>
      </c>
      <c r="AD25" s="63">
        <f t="shared" si="13"/>
        <v>11</v>
      </c>
      <c r="AE25" s="55">
        <f>'Misc Alt Schedule @ 7%'!AE25+'Safety Alt Schedule @ 7%'!AH25</f>
        <v>33871715.905824833</v>
      </c>
      <c r="AG25" s="73"/>
      <c r="AH25" s="80"/>
      <c r="AM25" s="216">
        <v>500000</v>
      </c>
    </row>
    <row r="26" spans="1:39" x14ac:dyDescent="0.25">
      <c r="A26" s="49">
        <f t="shared" si="3"/>
        <v>11</v>
      </c>
      <c r="B26" s="49">
        <f t="shared" si="1"/>
        <v>2027</v>
      </c>
      <c r="C26" s="49">
        <f t="shared" si="0"/>
        <v>2028</v>
      </c>
      <c r="D26" s="54">
        <f>'Misc Alt Schedule @ 7%'!D26+'Safety Alt Schedule @ 7%'!D26</f>
        <v>212275553.64868492</v>
      </c>
      <c r="E26" s="63">
        <f t="shared" si="4"/>
        <v>7</v>
      </c>
      <c r="F26" s="56">
        <f>'Misc Alt Schedule @ 7%'!F26+'Safety Alt Schedule @ 7%'!F26</f>
        <v>35614989.443430804</v>
      </c>
      <c r="G26" s="54">
        <f>'Misc Alt Schedule @ 7%'!G26+'Safety Alt Schedule @ 7%'!G26</f>
        <v>-56560257.334332645</v>
      </c>
      <c r="H26" s="63">
        <f t="shared" si="2"/>
        <v>19</v>
      </c>
      <c r="I26" s="55">
        <f>'Misc Alt Schedule @ 7%'!I26+'Safety Alt Schedule @ 7%'!I26</f>
        <v>-7055298.3454309385</v>
      </c>
      <c r="J26" s="56">
        <f>'Misc Alt Schedule @ 7%'!J26+'Safety Alt Schedule @ 7%'!J26</f>
        <v>23527047.924557716</v>
      </c>
      <c r="K26" s="63">
        <f t="shared" si="5"/>
        <v>10</v>
      </c>
      <c r="L26" s="56">
        <f t="shared" si="6"/>
        <v>2871583.8167290245</v>
      </c>
      <c r="M26" s="54">
        <f>'Misc Alt Schedule @ 7%'!M26+'Safety Alt Schedule @ 7%'!M26</f>
        <v>33759907.957589746</v>
      </c>
      <c r="N26" s="63">
        <f t="shared" si="7"/>
        <v>10</v>
      </c>
      <c r="O26" s="55">
        <f t="shared" si="8"/>
        <v>4120551.1909585912</v>
      </c>
      <c r="P26" s="54">
        <f>'Misc Alt Schedule @ 7%'!P26+'Safety Alt Schedule @ 7%'!P26</f>
        <v>10230763.373590898</v>
      </c>
      <c r="Q26" s="63">
        <f t="shared" si="9"/>
        <v>10</v>
      </c>
      <c r="R26" s="55">
        <f>'Misc Alt Schedule @ 7%'!R26+'Safety Alt Schedule @ 7%'!R26</f>
        <v>1248711.4673542259</v>
      </c>
      <c r="S26" s="54">
        <f>'Misc Alt Schedule @ 7%'!S26+'Safety Alt Schedule @ 7%'!S26</f>
        <v>10680762.133483453</v>
      </c>
      <c r="T26" s="63">
        <f t="shared" si="10"/>
        <v>10</v>
      </c>
      <c r="U26" s="55">
        <f>'Misc Alt Schedule @ 7%'!U26+'Safety Alt Schedule @ 7%'!U26</f>
        <v>1303635.8743856228</v>
      </c>
      <c r="V26" s="54">
        <f>'Misc Alt Schedule @ 7%'!V26+'Safety Alt Schedule @ 7%'!V26</f>
        <v>22792617.836669184</v>
      </c>
      <c r="W26" s="63">
        <f t="shared" si="11"/>
        <v>10</v>
      </c>
      <c r="X26" s="55">
        <f>'Misc Alt Schedule @ 7%'!X26+'Safety Alt Schedule @ 7%'!X26</f>
        <v>2781943.2650685585</v>
      </c>
      <c r="Y26" s="56">
        <f>'Misc Alt Schedule @ 7%'!Y26+'Safety Alt Schedule @ 7%'!AB26</f>
        <v>256706395.54024324</v>
      </c>
      <c r="Z26" s="63">
        <f t="shared" si="12"/>
        <v>10</v>
      </c>
      <c r="AA26" s="297">
        <f>'Misc Alt Schedule @ 7%'!AA26+'Safety Alt Schedule @ 7%'!AD26</f>
        <v>40949285.142628521</v>
      </c>
      <c r="AB26" s="111"/>
      <c r="AC26" s="54">
        <f>'Misc Alt Schedule @ 7%'!AC26+'Safety Alt Schedule @ 7%'!AF26</f>
        <v>246086458.19370449</v>
      </c>
      <c r="AD26" s="63">
        <f t="shared" si="13"/>
        <v>10</v>
      </c>
      <c r="AE26" s="55">
        <f>'Misc Alt Schedule @ 7%'!AE26+'Safety Alt Schedule @ 7%'!AH26</f>
        <v>33871715.905824825</v>
      </c>
      <c r="AG26" s="73"/>
      <c r="AH26" s="80"/>
      <c r="AM26" s="216">
        <v>500000</v>
      </c>
    </row>
    <row r="27" spans="1:39" x14ac:dyDescent="0.25">
      <c r="A27" s="49">
        <f t="shared" si="3"/>
        <v>12</v>
      </c>
      <c r="B27" s="49">
        <f t="shared" si="1"/>
        <v>2028</v>
      </c>
      <c r="C27" s="49">
        <f t="shared" si="0"/>
        <v>2029</v>
      </c>
      <c r="D27" s="54">
        <f>'Misc Alt Schedule @ 7%'!D27+'Safety Alt Schedule @ 7%'!D27</f>
        <v>191269813.17768183</v>
      </c>
      <c r="E27" s="63">
        <f t="shared" si="4"/>
        <v>6</v>
      </c>
      <c r="F27" s="56">
        <f>'Misc Alt Schedule @ 7%'!F27+'Safety Alt Schedule @ 7%'!F27</f>
        <v>36683439.126733728</v>
      </c>
      <c r="G27" s="54">
        <f>'Misc Alt Schedule @ 7%'!G27+'Safety Alt Schedule @ 7%'!G27</f>
        <v>-53487187.615894645</v>
      </c>
      <c r="H27" s="63">
        <f t="shared" si="2"/>
        <v>18</v>
      </c>
      <c r="I27" s="55">
        <f>'Misc Alt Schedule @ 7%'!I27+'Safety Alt Schedule @ 7%'!I27</f>
        <v>-7266957.2957938667</v>
      </c>
      <c r="J27" s="56">
        <f>'Misc Alt Schedule @ 7%'!J27+'Safety Alt Schedule @ 7%'!J27</f>
        <v>22248760.626219865</v>
      </c>
      <c r="K27" s="63">
        <f t="shared" si="5"/>
        <v>9</v>
      </c>
      <c r="L27" s="56">
        <f t="shared" si="6"/>
        <v>2963753.5802403227</v>
      </c>
      <c r="M27" s="54">
        <f>'Misc Alt Schedule @ 7%'!M27+'Safety Alt Schedule @ 7%'!M27</f>
        <v>31860770.219951175</v>
      </c>
      <c r="N27" s="63">
        <f t="shared" si="7"/>
        <v>9</v>
      </c>
      <c r="O27" s="55">
        <f t="shared" si="8"/>
        <v>4244167.7266873484</v>
      </c>
      <c r="P27" s="54">
        <f>'Misc Alt Schedule @ 7%'!P27+'Safety Alt Schedule @ 7%'!P27</f>
        <v>9655239.6241765022</v>
      </c>
      <c r="Q27" s="63">
        <f t="shared" si="9"/>
        <v>9</v>
      </c>
      <c r="R27" s="55">
        <f>'Misc Alt Schedule @ 7%'!R27+'Safety Alt Schedule @ 7%'!R27</f>
        <v>1286172.8113748531</v>
      </c>
      <c r="S27" s="54">
        <f>'Misc Alt Schedule @ 7%'!S27+'Safety Alt Schedule @ 7%'!S27</f>
        <v>10079924.048855938</v>
      </c>
      <c r="T27" s="63">
        <f t="shared" si="10"/>
        <v>9</v>
      </c>
      <c r="U27" s="55">
        <f>'Misc Alt Schedule @ 7%'!U27+'Safety Alt Schedule @ 7%'!U27</f>
        <v>1342744.9506171918</v>
      </c>
      <c r="V27" s="54">
        <f>'Misc Alt Schedule @ 7%'!V27+'Safety Alt Schedule @ 7%'!V27</f>
        <v>21510436.595903657</v>
      </c>
      <c r="W27" s="63">
        <f t="shared" si="11"/>
        <v>9</v>
      </c>
      <c r="X27" s="55">
        <f>'Misc Alt Schedule @ 7%'!X27+'Safety Alt Schedule @ 7%'!X27</f>
        <v>2865401.5630206158</v>
      </c>
      <c r="Y27" s="56">
        <f>'Misc Alt Schedule @ 7%'!Y27+'Safety Alt Schedule @ 7%'!AB27</f>
        <v>233137756.67689437</v>
      </c>
      <c r="Z27" s="63">
        <f t="shared" si="12"/>
        <v>9</v>
      </c>
      <c r="AA27" s="297">
        <f>'Misc Alt Schedule @ 7%'!AA27+'Safety Alt Schedule @ 7%'!AD27</f>
        <v>42177763.696907379</v>
      </c>
      <c r="AB27" s="111"/>
      <c r="AC27" s="54">
        <f>'Misc Alt Schedule @ 7%'!AC27+'Safety Alt Schedule @ 7%'!AF27</f>
        <v>228275334.89462212</v>
      </c>
      <c r="AD27" s="63">
        <f t="shared" si="13"/>
        <v>9</v>
      </c>
      <c r="AE27" s="55">
        <f>'Misc Alt Schedule @ 7%'!AE27+'Safety Alt Schedule @ 7%'!AH27</f>
        <v>33871715.905824833</v>
      </c>
      <c r="AG27" s="73"/>
      <c r="AH27" s="80"/>
      <c r="AM27" s="216">
        <v>500000</v>
      </c>
    </row>
    <row r="28" spans="1:39" s="50" customFormat="1" x14ac:dyDescent="0.25">
      <c r="A28" s="49">
        <f t="shared" si="3"/>
        <v>13</v>
      </c>
      <c r="B28" s="49">
        <f t="shared" si="1"/>
        <v>2029</v>
      </c>
      <c r="C28" s="49">
        <f t="shared" si="0"/>
        <v>2030</v>
      </c>
      <c r="D28" s="54">
        <f>'Misc Alt Schedule @ 7%'!D28+'Safety Alt Schedule @ 7%'!D28</f>
        <v>167580849.96151388</v>
      </c>
      <c r="E28" s="63">
        <f t="shared" si="4"/>
        <v>5</v>
      </c>
      <c r="F28" s="56">
        <f>'Misc Alt Schedule @ 7%'!F28+'Safety Alt Schedule @ 7%'!F28</f>
        <v>37783942.300535753</v>
      </c>
      <c r="G28" s="54">
        <f>'Misc Alt Schedule @ 7%'!G28+'Safety Alt Schedule @ 7%'!G28</f>
        <v>-49964184.998018414</v>
      </c>
      <c r="H28" s="63">
        <f t="shared" si="2"/>
        <v>17</v>
      </c>
      <c r="I28" s="55">
        <f>'Misc Alt Schedule @ 7%'!I28+'Safety Alt Schedule @ 7%'!I28</f>
        <v>-7484966.0146676833</v>
      </c>
      <c r="J28" s="56">
        <f>'Misc Alt Schedule @ 7%'!J28+'Safety Alt Schedule @ 7%'!J28</f>
        <v>20783317.303726286</v>
      </c>
      <c r="K28" s="63">
        <f t="shared" si="5"/>
        <v>8</v>
      </c>
      <c r="L28" s="56">
        <f t="shared" si="6"/>
        <v>3058976.5607125764</v>
      </c>
      <c r="M28" s="54">
        <f>'Misc Alt Schedule @ 7%'!M28+'Safety Alt Schedule @ 7%'!M28</f>
        <v>29700822.901837811</v>
      </c>
      <c r="N28" s="63">
        <f t="shared" si="7"/>
        <v>8</v>
      </c>
      <c r="O28" s="55">
        <f t="shared" si="8"/>
        <v>4371492.7584879687</v>
      </c>
      <c r="P28" s="54">
        <f>'Misc Alt Schedule @ 7%'!P28+'Safety Alt Schedule @ 7%'!P28</f>
        <v>9000678.8967361264</v>
      </c>
      <c r="Q28" s="63">
        <f t="shared" si="9"/>
        <v>8</v>
      </c>
      <c r="R28" s="55">
        <f>'Misc Alt Schedule @ 7%'!R28+'Safety Alt Schedule @ 7%'!R28</f>
        <v>1324757.9957160987</v>
      </c>
      <c r="S28" s="54">
        <f>'Misc Alt Schedule @ 7%'!S28+'Safety Alt Schedule @ 7%'!S28</f>
        <v>9396572.5552853532</v>
      </c>
      <c r="T28" s="63">
        <f t="shared" si="10"/>
        <v>8</v>
      </c>
      <c r="U28" s="55">
        <f>'Misc Alt Schedule @ 7%'!U28+'Safety Alt Schedule @ 7%'!U28</f>
        <v>1383027.2991357076</v>
      </c>
      <c r="V28" s="54">
        <f>'Misc Alt Schedule @ 7%'!V28+'Safety Alt Schedule @ 7%'!V28</f>
        <v>20052172.733604573</v>
      </c>
      <c r="W28" s="63">
        <f t="shared" si="11"/>
        <v>8</v>
      </c>
      <c r="X28" s="55">
        <f>'Misc Alt Schedule @ 7%'!X28+'Safety Alt Schedule @ 7%'!X28</f>
        <v>2951363.6099112341</v>
      </c>
      <c r="Y28" s="56">
        <f>'Misc Alt Schedule @ 7%'!Y28+'Safety Alt Schedule @ 7%'!AB28</f>
        <v>206550229.3546856</v>
      </c>
      <c r="Z28" s="63">
        <f t="shared" si="12"/>
        <v>8</v>
      </c>
      <c r="AA28" s="297">
        <f>'Misc Alt Schedule @ 7%'!AA28+'Safety Alt Schedule @ 7%'!AD28</f>
        <v>43443096.60781461</v>
      </c>
      <c r="AB28" s="111"/>
      <c r="AC28" s="54">
        <f>'Misc Alt Schedule @ 7%'!AC28+'Safety Alt Schedule @ 7%'!AF28</f>
        <v>209217432.96460399</v>
      </c>
      <c r="AD28" s="63">
        <f t="shared" si="13"/>
        <v>8</v>
      </c>
      <c r="AE28" s="55">
        <f>'Misc Alt Schedule @ 7%'!AE28+'Safety Alt Schedule @ 7%'!AH28</f>
        <v>33871715.905824825</v>
      </c>
      <c r="AG28" s="73"/>
      <c r="AH28" s="80"/>
      <c r="AM28" s="216">
        <v>500000</v>
      </c>
    </row>
    <row r="29" spans="1:39" s="50" customFormat="1" x14ac:dyDescent="0.25">
      <c r="A29" s="49">
        <f t="shared" si="3"/>
        <v>14</v>
      </c>
      <c r="B29" s="49">
        <f t="shared" si="1"/>
        <v>2030</v>
      </c>
      <c r="C29" s="49">
        <f t="shared" si="0"/>
        <v>2031</v>
      </c>
      <c r="D29" s="54">
        <f>'Misc Alt Schedule @ 7%'!D29+'Safety Alt Schedule @ 7%'!D29</f>
        <v>140974188.52799851</v>
      </c>
      <c r="E29" s="63">
        <f t="shared" si="4"/>
        <v>4</v>
      </c>
      <c r="F29" s="56">
        <f>'Misc Alt Schedule @ 7%'!F29+'Safety Alt Schedule @ 7%'!F29</f>
        <v>38917460.569551826</v>
      </c>
      <c r="G29" s="54">
        <f>'Misc Alt Schedule @ 7%'!G29+'Safety Alt Schedule @ 7%'!G29</f>
        <v>-45950920.933129415</v>
      </c>
      <c r="H29" s="63">
        <f t="shared" si="2"/>
        <v>16</v>
      </c>
      <c r="I29" s="55">
        <f>'Misc Alt Schedule @ 7%'!I29+'Safety Alt Schedule @ 7%'!I29</f>
        <v>-7709514.9951077122</v>
      </c>
      <c r="J29" s="56">
        <f>'Misc Alt Schedule @ 7%'!J29+'Safety Alt Schedule @ 7%'!J29</f>
        <v>19113942.720961884</v>
      </c>
      <c r="K29" s="63">
        <f t="shared" si="5"/>
        <v>7</v>
      </c>
      <c r="L29" s="56">
        <f t="shared" si="6"/>
        <v>3157357.1268970608</v>
      </c>
      <c r="M29" s="54">
        <f>'Misc Alt Schedule @ 7%'!M29+'Safety Alt Schedule @ 7%'!M29</f>
        <v>27257973.234451212</v>
      </c>
      <c r="N29" s="63">
        <f t="shared" si="7"/>
        <v>7</v>
      </c>
      <c r="O29" s="55">
        <f t="shared" si="8"/>
        <v>4502637.5412426079</v>
      </c>
      <c r="P29" s="54">
        <f>'Misc Alt Schedule @ 7%'!P29+'Safety Alt Schedule @ 7%'!P29</f>
        <v>8260386.0933409426</v>
      </c>
      <c r="Q29" s="63">
        <f t="shared" si="9"/>
        <v>7</v>
      </c>
      <c r="R29" s="55">
        <f>'Misc Alt Schedule @ 7%'!R29+'Safety Alt Schedule @ 7%'!R29</f>
        <v>1364500.7355875818</v>
      </c>
      <c r="S29" s="54">
        <f>'Misc Alt Schedule @ 7%'!S29+'Safety Alt Schedule @ 7%'!S29</f>
        <v>8623718.0718551166</v>
      </c>
      <c r="T29" s="63">
        <f t="shared" si="10"/>
        <v>7</v>
      </c>
      <c r="U29" s="55">
        <f>'Misc Alt Schedule @ 7%'!U29+'Safety Alt Schedule @ 7%'!U29</f>
        <v>1424518.118109779</v>
      </c>
      <c r="V29" s="54">
        <f>'Misc Alt Schedule @ 7%'!V29+'Safety Alt Schedule @ 7%'!V29</f>
        <v>18402910.568224184</v>
      </c>
      <c r="W29" s="63">
        <f t="shared" si="11"/>
        <v>7</v>
      </c>
      <c r="X29" s="55">
        <f>'Misc Alt Schedule @ 7%'!X29+'Safety Alt Schedule @ 7%'!X29</f>
        <v>3039904.5182085712</v>
      </c>
      <c r="Y29" s="56">
        <f>'Misc Alt Schedule @ 7%'!Y29+'Safety Alt Schedule @ 7%'!AB29</f>
        <v>176682198.28370243</v>
      </c>
      <c r="Z29" s="63">
        <f t="shared" si="12"/>
        <v>7</v>
      </c>
      <c r="AA29" s="297">
        <f>'Misc Alt Schedule @ 7%'!AA29+'Safety Alt Schedule @ 7%'!AD29</f>
        <v>44746389.506049052</v>
      </c>
      <c r="AB29" s="111"/>
      <c r="AC29" s="54">
        <f>'Misc Alt Schedule @ 7%'!AC29+'Safety Alt Schedule @ 7%'!AF29</f>
        <v>188825477.89948457</v>
      </c>
      <c r="AD29" s="63">
        <f t="shared" si="13"/>
        <v>7</v>
      </c>
      <c r="AE29" s="55">
        <f>'Misc Alt Schedule @ 7%'!AE29+'Safety Alt Schedule @ 7%'!AH29</f>
        <v>33871715.905824825</v>
      </c>
      <c r="AG29" s="73"/>
      <c r="AH29" s="80"/>
      <c r="AM29" s="216">
        <v>500000</v>
      </c>
    </row>
    <row r="30" spans="1:39" s="50" customFormat="1" x14ac:dyDescent="0.25">
      <c r="A30" s="49">
        <f t="shared" si="3"/>
        <v>15</v>
      </c>
      <c r="B30" s="49">
        <f t="shared" si="1"/>
        <v>2031</v>
      </c>
      <c r="C30" s="49">
        <f t="shared" si="0"/>
        <v>2032</v>
      </c>
      <c r="D30" s="54">
        <f>'Misc Alt Schedule @ 7%'!D30+'Safety Alt Schedule @ 7%'!D30</f>
        <v>111196770.73155063</v>
      </c>
      <c r="E30" s="63">
        <f t="shared" si="4"/>
        <v>3</v>
      </c>
      <c r="F30" s="56">
        <f>'Misc Alt Schedule @ 7%'!F30+'Safety Alt Schedule @ 7%'!F30</f>
        <v>40084984.386638373</v>
      </c>
      <c r="G30" s="54">
        <f>'Misc Alt Schedule @ 7%'!G30+'Safety Alt Schedule @ 7%'!G30</f>
        <v>-41403844.725181535</v>
      </c>
      <c r="H30" s="63">
        <f t="shared" si="2"/>
        <v>15</v>
      </c>
      <c r="I30" s="55">
        <f>'Misc Alt Schedule @ 7%'!I30+'Safety Alt Schedule @ 7%'!I30</f>
        <v>-7940800.4449609425</v>
      </c>
      <c r="J30" s="56">
        <f>'Misc Alt Schedule @ 7%'!J30+'Safety Alt Schedule @ 7%'!J30</f>
        <v>17222521.343073837</v>
      </c>
      <c r="K30" s="63">
        <f t="shared" si="5"/>
        <v>6</v>
      </c>
      <c r="L30" s="56">
        <f t="shared" si="6"/>
        <v>3259003.294869388</v>
      </c>
      <c r="M30" s="54">
        <f>'Misc Alt Schedule @ 7%'!M30+'Safety Alt Schedule @ 7%'!M30</f>
        <v>24508466.872232094</v>
      </c>
      <c r="N30" s="63">
        <f t="shared" si="7"/>
        <v>6</v>
      </c>
      <c r="O30" s="55">
        <f t="shared" si="8"/>
        <v>4637716.6674798876</v>
      </c>
      <c r="P30" s="54">
        <f>'Misc Alt Schedule @ 7%'!P30+'Safety Alt Schedule @ 7%'!P30</f>
        <v>7427162.583923094</v>
      </c>
      <c r="Q30" s="63">
        <f t="shared" si="9"/>
        <v>6</v>
      </c>
      <c r="R30" s="55">
        <f>'Misc Alt Schedule @ 7%'!R30+'Safety Alt Schedule @ 7%'!R30</f>
        <v>1405435.7576552099</v>
      </c>
      <c r="S30" s="54">
        <f>'Misc Alt Schedule @ 7%'!S30+'Safety Alt Schedule @ 7%'!S30</f>
        <v>7753845.3377157552</v>
      </c>
      <c r="T30" s="63">
        <f t="shared" si="10"/>
        <v>6</v>
      </c>
      <c r="U30" s="55">
        <f>'Misc Alt Schedule @ 7%'!U30+'Safety Alt Schedule @ 7%'!U30</f>
        <v>1467253.661653073</v>
      </c>
      <c r="V30" s="54">
        <f>'Misc Alt Schedule @ 7%'!V30+'Safety Alt Schedule @ 7%'!V30</f>
        <v>16546612.623565182</v>
      </c>
      <c r="W30" s="63">
        <f t="shared" si="11"/>
        <v>6</v>
      </c>
      <c r="X30" s="55">
        <f>'Misc Alt Schedule @ 7%'!X30+'Safety Alt Schedule @ 7%'!X30</f>
        <v>3131101.6537548294</v>
      </c>
      <c r="Y30" s="56">
        <f>'Misc Alt Schedule @ 7%'!Y30+'Safety Alt Schedule @ 7%'!AB30</f>
        <v>143251534.76687908</v>
      </c>
      <c r="Z30" s="63">
        <f t="shared" si="12"/>
        <v>6</v>
      </c>
      <c r="AA30" s="297">
        <f>'Misc Alt Schedule @ 7%'!AA30+'Safety Alt Schedule @ 7%'!AD30</f>
        <v>46088781.191230521</v>
      </c>
      <c r="AB30" s="111"/>
      <c r="AC30" s="54">
        <f>'Misc Alt Schedule @ 7%'!AC30+'Safety Alt Schedule @ 7%'!AF30</f>
        <v>167006085.97980684</v>
      </c>
      <c r="AD30" s="63">
        <f t="shared" si="13"/>
        <v>6</v>
      </c>
      <c r="AE30" s="55">
        <f>'Misc Alt Schedule @ 7%'!AE30+'Safety Alt Schedule @ 7%'!AH30</f>
        <v>33871715.905824825</v>
      </c>
      <c r="AG30" s="73"/>
      <c r="AH30" s="80"/>
      <c r="AM30" s="216">
        <v>500000</v>
      </c>
    </row>
    <row r="31" spans="1:39" s="50" customFormat="1" x14ac:dyDescent="0.25">
      <c r="A31" s="49">
        <f t="shared" si="3"/>
        <v>16</v>
      </c>
      <c r="B31" s="49">
        <f t="shared" si="1"/>
        <v>2032</v>
      </c>
      <c r="C31" s="49">
        <f t="shared" si="0"/>
        <v>2033</v>
      </c>
      <c r="D31" s="54">
        <f>'Misc Alt Schedule @ 7%'!D31+'Safety Alt Schedule @ 7%'!D31</f>
        <v>77975532.142287731</v>
      </c>
      <c r="E31" s="63">
        <f t="shared" si="4"/>
        <v>2</v>
      </c>
      <c r="F31" s="56">
        <f>'Misc Alt Schedule @ 7%'!F31+'Safety Alt Schedule @ 7%'!F31</f>
        <v>41287533.91823753</v>
      </c>
      <c r="G31" s="54">
        <f>'Misc Alt Schedule @ 7%'!G31+'Safety Alt Schedule @ 7%'!G31</f>
        <v>-36275935.943299592</v>
      </c>
      <c r="H31" s="63">
        <f t="shared" si="2"/>
        <v>14</v>
      </c>
      <c r="I31" s="55">
        <f>'Misc Alt Schedule @ 7%'!I31+'Safety Alt Schedule @ 7%'!I31</f>
        <v>-8179024.4583097771</v>
      </c>
      <c r="J31" s="56">
        <f>'Misc Alt Schedule @ 7%'!J31+'Safety Alt Schedule @ 7%'!J31</f>
        <v>15089494.349385381</v>
      </c>
      <c r="K31" s="63">
        <f t="shared" si="5"/>
        <v>5</v>
      </c>
      <c r="L31" s="56">
        <f t="shared" si="6"/>
        <v>3364026.8562252889</v>
      </c>
      <c r="M31" s="54">
        <f>'Misc Alt Schedule @ 7%'!M31+'Safety Alt Schedule @ 7%'!M31</f>
        <v>21426768.129998721</v>
      </c>
      <c r="N31" s="63">
        <f t="shared" si="7"/>
        <v>5</v>
      </c>
      <c r="O31" s="55">
        <f t="shared" si="8"/>
        <v>4776848.1675042855</v>
      </c>
      <c r="P31" s="54">
        <f>'Misc Alt Schedule @ 7%'!P31+'Safety Alt Schedule @ 7%'!P31</f>
        <v>6493269.9127674429</v>
      </c>
      <c r="Q31" s="63">
        <f t="shared" si="9"/>
        <v>5</v>
      </c>
      <c r="R31" s="55">
        <f>'Misc Alt Schedule @ 7%'!R31+'Safety Alt Schedule @ 7%'!R31</f>
        <v>1447598.8303848659</v>
      </c>
      <c r="S31" s="54">
        <f>'Misc Alt Schedule @ 7%'!S31+'Safety Alt Schedule @ 7%'!S31</f>
        <v>6778875.522211561</v>
      </c>
      <c r="T31" s="63">
        <f t="shared" si="10"/>
        <v>5</v>
      </c>
      <c r="U31" s="55">
        <f>'Misc Alt Schedule @ 7%'!U31+'Safety Alt Schedule @ 7%'!U31</f>
        <v>1511271.271502665</v>
      </c>
      <c r="V31" s="54">
        <f>'Misc Alt Schedule @ 7%'!V31+'Safety Alt Schedule @ 7%'!V31</f>
        <v>14466038.772247009</v>
      </c>
      <c r="W31" s="63">
        <f t="shared" si="11"/>
        <v>5</v>
      </c>
      <c r="X31" s="55">
        <f>'Misc Alt Schedule @ 7%'!X31+'Safety Alt Schedule @ 7%'!X31</f>
        <v>3225034.7033674736</v>
      </c>
      <c r="Y31" s="56">
        <f>'Misc Alt Schedule @ 7%'!Y31+'Safety Alt Schedule @ 7%'!AB31</f>
        <v>105954042.88559826</v>
      </c>
      <c r="Z31" s="63">
        <f t="shared" si="12"/>
        <v>5</v>
      </c>
      <c r="AA31" s="297">
        <f>'Misc Alt Schedule @ 7%'!AA31+'Safety Alt Schedule @ 7%'!AD31</f>
        <v>47471444.626967445</v>
      </c>
      <c r="AB31" s="111"/>
      <c r="AC31" s="54">
        <f>'Misc Alt Schedule @ 7%'!AC31+'Safety Alt Schedule @ 7%'!AF31</f>
        <v>143659336.62575161</v>
      </c>
      <c r="AD31" s="63">
        <f t="shared" si="13"/>
        <v>5</v>
      </c>
      <c r="AE31" s="55">
        <f>'Misc Alt Schedule @ 7%'!AE31+'Safety Alt Schedule @ 7%'!AH31</f>
        <v>33871715.905824825</v>
      </c>
      <c r="AG31" s="73"/>
      <c r="AH31" s="80"/>
      <c r="AM31" s="216">
        <v>500000</v>
      </c>
    </row>
    <row r="32" spans="1:39" s="50" customFormat="1" x14ac:dyDescent="0.25">
      <c r="A32" s="49">
        <f t="shared" si="3"/>
        <v>17</v>
      </c>
      <c r="B32" s="49">
        <f t="shared" si="1"/>
        <v>2033</v>
      </c>
      <c r="C32" s="49">
        <f t="shared" si="0"/>
        <v>2034</v>
      </c>
      <c r="D32" s="54">
        <f>'Misc Alt Schedule @ 7%'!D32+'Safety Alt Schedule @ 7%'!D32</f>
        <v>41015870.767006233</v>
      </c>
      <c r="E32" s="63">
        <f t="shared" si="4"/>
        <v>1</v>
      </c>
      <c r="F32" s="56">
        <f>'Misc Alt Schedule @ 7%'!F32+'Safety Alt Schedule @ 7%'!F32</f>
        <v>42526159.935784668</v>
      </c>
      <c r="G32" s="54">
        <f>'Misc Alt Schedule @ 7%'!G32+'Safety Alt Schedule @ 7%'!G32</f>
        <v>-30516438.088688377</v>
      </c>
      <c r="H32" s="63">
        <f t="shared" si="2"/>
        <v>13</v>
      </c>
      <c r="I32" s="55">
        <f>'Misc Alt Schedule @ 7%'!I32+'Safety Alt Schedule @ 7%'!I32</f>
        <v>-8424395.1920590661</v>
      </c>
      <c r="J32" s="56">
        <f>'Misc Alt Schedule @ 7%'!J32+'Safety Alt Schedule @ 7%'!J32</f>
        <v>12693748.848337717</v>
      </c>
      <c r="K32" s="63">
        <f t="shared" si="5"/>
        <v>4</v>
      </c>
      <c r="L32" s="56">
        <f t="shared" si="6"/>
        <v>3472543.5107411342</v>
      </c>
      <c r="M32" s="54">
        <f>'Misc Alt Schedule @ 7%'!M32+'Safety Alt Schedule @ 7%'!M32</f>
        <v>17985431.733110316</v>
      </c>
      <c r="N32" s="63">
        <f t="shared" si="7"/>
        <v>4</v>
      </c>
      <c r="O32" s="55">
        <f t="shared" si="8"/>
        <v>4920153.6125294128</v>
      </c>
      <c r="P32" s="54">
        <f>'Misc Alt Schedule @ 7%'!P32+'Safety Alt Schedule @ 7%'!P32</f>
        <v>5450390.9330699891</v>
      </c>
      <c r="Q32" s="63">
        <f t="shared" si="9"/>
        <v>4</v>
      </c>
      <c r="R32" s="55">
        <f>'Misc Alt Schedule @ 7%'!R32+'Safety Alt Schedule @ 7%'!R32</f>
        <v>1491026.795296412</v>
      </c>
      <c r="S32" s="54">
        <f>'Misc Alt Schedule @ 7%'!S32+'Safety Alt Schedule @ 7%'!S32</f>
        <v>5690125.6499477439</v>
      </c>
      <c r="T32" s="63">
        <f t="shared" si="10"/>
        <v>4</v>
      </c>
      <c r="U32" s="55">
        <f>'Misc Alt Schedule @ 7%'!U32+'Safety Alt Schedule @ 7%'!U32</f>
        <v>1556609.4096477451</v>
      </c>
      <c r="V32" s="54">
        <f>'Misc Alt Schedule @ 7%'!V32+'Safety Alt Schedule @ 7%'!V32</f>
        <v>12142659.649287533</v>
      </c>
      <c r="W32" s="63">
        <f t="shared" si="11"/>
        <v>4</v>
      </c>
      <c r="X32" s="55">
        <f>'Misc Alt Schedule @ 7%'!X32+'Safety Alt Schedule @ 7%'!X32</f>
        <v>3321785.744468498</v>
      </c>
      <c r="Y32" s="56">
        <f>'Misc Alt Schedule @ 7%'!Y32+'Safety Alt Schedule @ 7%'!AB32</f>
        <v>64461789.492071159</v>
      </c>
      <c r="Z32" s="63">
        <f t="shared" si="12"/>
        <v>4</v>
      </c>
      <c r="AA32" s="297">
        <f>'Misc Alt Schedule @ 7%'!AA32+'Safety Alt Schedule @ 7%'!AD32</f>
        <v>48895587.965776488</v>
      </c>
      <c r="AB32" s="111"/>
      <c r="AC32" s="54">
        <f>'Misc Alt Schedule @ 7%'!AC32+'Safety Alt Schedule @ 7%'!AF32</f>
        <v>118678314.81691253</v>
      </c>
      <c r="AD32" s="63">
        <f t="shared" si="13"/>
        <v>4</v>
      </c>
      <c r="AE32" s="55">
        <f>'Misc Alt Schedule @ 7%'!AE32+'Safety Alt Schedule @ 7%'!AH32</f>
        <v>33871715.905824818</v>
      </c>
      <c r="AG32" s="73"/>
      <c r="AH32" s="80"/>
      <c r="AM32" s="216">
        <v>500000</v>
      </c>
    </row>
    <row r="33" spans="1:39" s="50" customFormat="1" x14ac:dyDescent="0.25">
      <c r="A33" s="49">
        <f t="shared" si="3"/>
        <v>18</v>
      </c>
      <c r="B33" s="49">
        <f t="shared" si="1"/>
        <v>2034</v>
      </c>
      <c r="C33" s="49">
        <f t="shared" si="0"/>
        <v>2035</v>
      </c>
      <c r="D33" s="54"/>
      <c r="E33" s="63"/>
      <c r="F33" s="56"/>
      <c r="G33" s="54">
        <f>'Misc Alt Schedule @ 7%'!G33+'Safety Alt Schedule @ 7%'!G33</f>
        <v>-24070572.10347056</v>
      </c>
      <c r="H33" s="63">
        <f t="shared" si="2"/>
        <v>12</v>
      </c>
      <c r="I33" s="55">
        <f>'Misc Alt Schedule @ 7%'!I33+'Safety Alt Schedule @ 7%'!I33</f>
        <v>-8677127.04782084</v>
      </c>
      <c r="J33" s="56">
        <f>'Misc Alt Schedule @ 7%'!J33+'Safety Alt Schedule @ 7%'!J33</f>
        <v>10012498.707393937</v>
      </c>
      <c r="K33" s="63">
        <f t="shared" si="5"/>
        <v>3</v>
      </c>
      <c r="L33" s="56">
        <f t="shared" si="6"/>
        <v>3584673.0036529941</v>
      </c>
      <c r="M33" s="54">
        <f>'Misc Alt Schedule @ 7%'!M33+'Safety Alt Schedule @ 7%'!M33</f>
        <v>14154965.483460076</v>
      </c>
      <c r="N33" s="63">
        <f t="shared" si="7"/>
        <v>3</v>
      </c>
      <c r="O33" s="55">
        <f t="shared" si="8"/>
        <v>5067758.2209052974</v>
      </c>
      <c r="P33" s="54">
        <f>'Misc Alt Schedule @ 7%'!P33+'Safety Alt Schedule @ 7%'!P33</f>
        <v>4289588.188585978</v>
      </c>
      <c r="Q33" s="63">
        <f t="shared" si="9"/>
        <v>3</v>
      </c>
      <c r="R33" s="55">
        <f>'Misc Alt Schedule @ 7%'!R33+'Safety Alt Schedule @ 7%'!R33</f>
        <v>1535757.5991553045</v>
      </c>
      <c r="S33" s="54">
        <f>'Misc Alt Schedule @ 7%'!S33+'Safety Alt Schedule @ 7%'!S33</f>
        <v>4478265.1518609002</v>
      </c>
      <c r="T33" s="63">
        <f t="shared" si="10"/>
        <v>3</v>
      </c>
      <c r="U33" s="55">
        <f>'Misc Alt Schedule @ 7%'!U33+'Safety Alt Schedule @ 7%'!U33</f>
        <v>1603307.6919371777</v>
      </c>
      <c r="V33" s="54">
        <f>'Misc Alt Schedule @ 7%'!V33+'Safety Alt Schedule @ 7%'!V33</f>
        <v>9556563.9326103907</v>
      </c>
      <c r="W33" s="63">
        <f t="shared" si="11"/>
        <v>3</v>
      </c>
      <c r="X33" s="55">
        <f>'Misc Alt Schedule @ 7%'!X33+'Safety Alt Schedule @ 7%'!X33</f>
        <v>3421439.3168025538</v>
      </c>
      <c r="Y33" s="56">
        <f>'Misc Alt Schedule @ 7%'!Y33+'Safety Alt Schedule @ 7%'!AB33</f>
        <v>18421309.360440724</v>
      </c>
      <c r="Z33" s="63">
        <f t="shared" si="12"/>
        <v>3</v>
      </c>
      <c r="AA33" s="297">
        <f>'Misc Alt Schedule @ 7%'!AA33+'Safety Alt Schedule @ 7%'!AD33</f>
        <v>6560510.8708915673</v>
      </c>
      <c r="AB33" s="111"/>
      <c r="AC33" s="54">
        <f>'Misc Alt Schedule @ 7%'!AC33+'Safety Alt Schedule @ 7%'!AF33</f>
        <v>91948621.48145473</v>
      </c>
      <c r="AD33" s="63">
        <f t="shared" si="13"/>
        <v>3</v>
      </c>
      <c r="AE33" s="55">
        <f>'Misc Alt Schedule @ 7%'!AE33+'Safety Alt Schedule @ 7%'!AH33</f>
        <v>33871715.905824825</v>
      </c>
      <c r="AG33" s="73"/>
      <c r="AH33" s="80"/>
      <c r="AM33" s="216">
        <v>500000</v>
      </c>
    </row>
    <row r="34" spans="1:39" s="50" customFormat="1" x14ac:dyDescent="0.25">
      <c r="A34" s="49">
        <f t="shared" si="3"/>
        <v>19</v>
      </c>
      <c r="B34" s="49">
        <f t="shared" si="1"/>
        <v>2035</v>
      </c>
      <c r="C34" s="49">
        <f t="shared" si="0"/>
        <v>2036</v>
      </c>
      <c r="D34" s="54"/>
      <c r="E34" s="63"/>
      <c r="F34" s="56"/>
      <c r="G34" s="54">
        <f>'Misc Alt Schedule @ 7%'!G34+'Safety Alt Schedule @ 7%'!G34</f>
        <v>-16879228.204105325</v>
      </c>
      <c r="H34" s="63">
        <f t="shared" si="2"/>
        <v>11</v>
      </c>
      <c r="I34" s="55">
        <f>'Misc Alt Schedule @ 7%'!I34+'Safety Alt Schedule @ 7%'!I34</f>
        <v>-8937440.8592554647</v>
      </c>
      <c r="J34" s="56">
        <f>'Misc Alt Schedule @ 7%'!J34+'Safety Alt Schedule @ 7%'!J34</f>
        <v>7021156.3667422961</v>
      </c>
      <c r="K34" s="63">
        <f t="shared" si="5"/>
        <v>2</v>
      </c>
      <c r="L34" s="56">
        <f t="shared" si="6"/>
        <v>3700539.2677134224</v>
      </c>
      <c r="M34" s="54">
        <f>'Misc Alt Schedule @ 7%'!M34+'Safety Alt Schedule @ 7%'!M34</f>
        <v>9903683.2022052761</v>
      </c>
      <c r="N34" s="63">
        <f t="shared" si="7"/>
        <v>2</v>
      </c>
      <c r="O34" s="55">
        <f t="shared" si="8"/>
        <v>5219790.967532455</v>
      </c>
      <c r="P34" s="54">
        <f>'Misc Alt Schedule @ 7%'!P34+'Safety Alt Schedule @ 7%'!P34</f>
        <v>3001259.3486941177</v>
      </c>
      <c r="Q34" s="63">
        <f t="shared" si="9"/>
        <v>2</v>
      </c>
      <c r="R34" s="55">
        <f>'Misc Alt Schedule @ 7%'!R34+'Safety Alt Schedule @ 7%'!R34</f>
        <v>1581830.3271299638</v>
      </c>
      <c r="S34" s="54">
        <f>'Misc Alt Schedule @ 7%'!S34+'Safety Alt Schedule @ 7%'!S34</f>
        <v>3133269.340100483</v>
      </c>
      <c r="T34" s="63">
        <f t="shared" si="10"/>
        <v>2</v>
      </c>
      <c r="U34" s="55">
        <f>'Misc Alt Schedule @ 7%'!U34+'Safety Alt Schedule @ 7%'!U34</f>
        <v>1651406.9226952931</v>
      </c>
      <c r="V34" s="54">
        <f>'Misc Alt Schedule @ 7%'!V34+'Safety Alt Schedule @ 7%'!V34</f>
        <v>6686359.0590020288</v>
      </c>
      <c r="W34" s="63">
        <f t="shared" si="11"/>
        <v>2</v>
      </c>
      <c r="X34" s="55">
        <f>'Misc Alt Schedule @ 7%'!X34+'Safety Alt Schedule @ 7%'!X34</f>
        <v>3524082.4963066294</v>
      </c>
      <c r="Y34" s="56">
        <f>'Misc Alt Schedule @ 7%'!Y34+'Safety Alt Schedule @ 7%'!AB34</f>
        <v>12866499.112638876</v>
      </c>
      <c r="Z34" s="63">
        <f t="shared" si="12"/>
        <v>2</v>
      </c>
      <c r="AA34" s="297">
        <f>'Misc Alt Schedule @ 7%'!AA34+'Safety Alt Schedule @ 7%'!AD34</f>
        <v>6757326.1970183151</v>
      </c>
      <c r="AB34" s="111"/>
      <c r="AC34" s="54">
        <f>'Misc Alt Schedule @ 7%'!AC34+'Safety Alt Schedule @ 7%'!AF34</f>
        <v>63347849.612514868</v>
      </c>
      <c r="AD34" s="63">
        <f t="shared" si="13"/>
        <v>2</v>
      </c>
      <c r="AE34" s="55">
        <f>'Misc Alt Schedule @ 7%'!AE34+'Safety Alt Schedule @ 7%'!AH34</f>
        <v>33871715.905824825</v>
      </c>
      <c r="AG34" s="73"/>
      <c r="AH34" s="80"/>
      <c r="AM34" s="216">
        <v>500000</v>
      </c>
    </row>
    <row r="35" spans="1:39" s="50" customFormat="1" x14ac:dyDescent="0.25">
      <c r="A35" s="49">
        <f t="shared" si="3"/>
        <v>20</v>
      </c>
      <c r="B35" s="49">
        <f t="shared" si="1"/>
        <v>2036</v>
      </c>
      <c r="C35" s="49">
        <f t="shared" si="0"/>
        <v>2037</v>
      </c>
      <c r="D35" s="54"/>
      <c r="E35" s="63"/>
      <c r="F35" s="56"/>
      <c r="G35" s="54">
        <f>'Misc Alt Schedule @ 7%'!G35+'Safety Alt Schedule @ 7%'!G35</f>
        <v>-8878634.4080739319</v>
      </c>
      <c r="H35" s="63">
        <f t="shared" si="2"/>
        <v>10</v>
      </c>
      <c r="I35" s="55">
        <f>'Misc Alt Schedule @ 7%'!I35+'Safety Alt Schedule @ 7%'!I35</f>
        <v>-9205564.0850331318</v>
      </c>
      <c r="J35" s="56">
        <f>'Misc Alt Schedule @ 7%'!J35+'Safety Alt Schedule @ 7%'!J35</f>
        <v>3693194.9582305988</v>
      </c>
      <c r="K35" s="63">
        <f t="shared" si="5"/>
        <v>1</v>
      </c>
      <c r="L35" s="56">
        <f t="shared" si="6"/>
        <v>3820270.5701906648</v>
      </c>
      <c r="M35" s="54">
        <f>'Misc Alt Schedule @ 7%'!M35+'Safety Alt Schedule @ 7%'!M35</f>
        <v>5197547.2653097296</v>
      </c>
      <c r="N35" s="63">
        <f t="shared" si="7"/>
        <v>1</v>
      </c>
      <c r="O35" s="55">
        <f t="shared" si="8"/>
        <v>5376384.6965584271</v>
      </c>
      <c r="P35" s="54">
        <f>'Misc Alt Schedule @ 7%'!P35+'Safety Alt Schedule @ 7%'!P35</f>
        <v>1575089.4896170418</v>
      </c>
      <c r="Q35" s="63">
        <f t="shared" si="9"/>
        <v>1</v>
      </c>
      <c r="R35" s="55">
        <f>'Misc Alt Schedule @ 7%'!R35+'Safety Alt Schedule @ 7%'!R35</f>
        <v>1629285.2369438626</v>
      </c>
      <c r="S35" s="54">
        <f>'Misc Alt Schedule @ 7%'!S35+'Safety Alt Schedule @ 7%'!S35</f>
        <v>1644369.5903451149</v>
      </c>
      <c r="T35" s="63">
        <f t="shared" si="10"/>
        <v>1</v>
      </c>
      <c r="U35" s="55">
        <f>'Misc Alt Schedule @ 7%'!U35+'Safety Alt Schedule @ 7%'!U35</f>
        <v>1700949.1303761513</v>
      </c>
      <c r="V35" s="54">
        <f>'Misc Alt Schedule @ 7%'!V35+'Safety Alt Schedule @ 7%'!V35</f>
        <v>3509064.9137743507</v>
      </c>
      <c r="W35" s="63">
        <f t="shared" si="11"/>
        <v>1</v>
      </c>
      <c r="X35" s="55">
        <f>'Misc Alt Schedule @ 7%'!X35+'Safety Alt Schedule @ 7%'!X35</f>
        <v>3629804.9711958282</v>
      </c>
      <c r="Y35" s="56">
        <f>'Misc Alt Schedule @ 7%'!Y35+'Safety Alt Schedule @ 7%'!AB35</f>
        <v>6740631.8092029039</v>
      </c>
      <c r="Z35" s="63">
        <f t="shared" si="12"/>
        <v>1</v>
      </c>
      <c r="AA35" s="297">
        <f>'Misc Alt Schedule @ 7%'!AA35+'Safety Alt Schedule @ 7%'!AD35</f>
        <v>6960045.9829288591</v>
      </c>
      <c r="AB35" s="111"/>
      <c r="AC35" s="54">
        <f>'Misc Alt Schedule @ 7%'!AC35+'Safety Alt Schedule @ 7%'!AF35</f>
        <v>32745023.712749224</v>
      </c>
      <c r="AD35" s="63">
        <f t="shared" si="13"/>
        <v>1</v>
      </c>
      <c r="AE35" s="55">
        <f>'Misc Alt Schedule @ 7%'!AE35+'Safety Alt Schedule @ 7%'!AH35</f>
        <v>33871715.905824803</v>
      </c>
      <c r="AG35" s="73"/>
      <c r="AH35" s="80"/>
      <c r="AM35" s="216">
        <v>500000</v>
      </c>
    </row>
    <row r="36" spans="1:39" s="50" customFormat="1" x14ac:dyDescent="0.25">
      <c r="A36" s="49">
        <f t="shared" si="3"/>
        <v>21</v>
      </c>
      <c r="B36" s="49">
        <f t="shared" si="1"/>
        <v>2037</v>
      </c>
      <c r="C36" s="49">
        <f t="shared" si="0"/>
        <v>2038</v>
      </c>
      <c r="D36" s="54"/>
      <c r="E36" s="63"/>
      <c r="F36" s="56"/>
      <c r="G36" s="54">
        <f>'Misc Alt Schedule @ 7%'!G36+'Safety Alt Schedule @ 7%'!G36</f>
        <v>0</v>
      </c>
      <c r="H36" s="63">
        <f t="shared" si="2"/>
        <v>9</v>
      </c>
      <c r="I36" s="55">
        <f>'Misc Alt Schedule @ 7%'!I36+'Safety Alt Schedule @ 7%'!I36</f>
        <v>0</v>
      </c>
      <c r="J36" s="56"/>
      <c r="K36" s="63"/>
      <c r="L36" s="56"/>
      <c r="M36" s="54"/>
      <c r="N36" s="63"/>
      <c r="O36" s="55"/>
      <c r="P36" s="54"/>
      <c r="Q36" s="63"/>
      <c r="R36" s="55"/>
      <c r="S36" s="54"/>
      <c r="T36" s="63"/>
      <c r="U36" s="55"/>
      <c r="V36" s="54"/>
      <c r="W36" s="63"/>
      <c r="X36" s="55"/>
      <c r="Y36" s="56">
        <f>'Misc Alt Schedule @ 7%'!Y36+'Safety Alt Schedule @ 7%'!AB36</f>
        <v>0</v>
      </c>
      <c r="Z36" s="63">
        <f t="shared" si="12"/>
        <v>0</v>
      </c>
      <c r="AA36" s="297">
        <f>'Misc Alt Schedule @ 7%'!AA36+'Safety Alt Schedule @ 7%'!AD36</f>
        <v>0</v>
      </c>
      <c r="AB36" s="111"/>
      <c r="AC36" s="54">
        <f>'Misc Alt Schedule @ 7%'!AC36+'Safety Alt Schedule @ 7%'!AF36</f>
        <v>0</v>
      </c>
      <c r="AD36" s="63">
        <f t="shared" si="13"/>
        <v>0</v>
      </c>
      <c r="AE36" s="55">
        <f>'Misc Alt Schedule @ 7%'!AE36+'Safety Alt Schedule @ 7%'!AH36</f>
        <v>0</v>
      </c>
      <c r="AG36" s="73"/>
      <c r="AH36" s="80"/>
      <c r="AM36" s="216">
        <v>500000</v>
      </c>
    </row>
    <row r="37" spans="1:39" s="50" customFormat="1" x14ac:dyDescent="0.25">
      <c r="A37" s="49">
        <f t="shared" si="3"/>
        <v>22</v>
      </c>
      <c r="B37" s="49">
        <f t="shared" si="1"/>
        <v>2038</v>
      </c>
      <c r="C37" s="49">
        <f t="shared" si="0"/>
        <v>2039</v>
      </c>
      <c r="D37" s="54"/>
      <c r="E37" s="63"/>
      <c r="F37" s="56"/>
      <c r="G37" s="54">
        <f>'Misc Alt Schedule @ 7%'!G37+'Safety Alt Schedule @ 7%'!G37</f>
        <v>0</v>
      </c>
      <c r="H37" s="63">
        <f t="shared" si="2"/>
        <v>8</v>
      </c>
      <c r="I37" s="55">
        <f>'Misc Alt Schedule @ 7%'!I37+'Safety Alt Schedule @ 7%'!I37</f>
        <v>0</v>
      </c>
      <c r="J37" s="56"/>
      <c r="K37" s="63"/>
      <c r="L37" s="56"/>
      <c r="M37" s="54"/>
      <c r="N37" s="63"/>
      <c r="O37" s="55"/>
      <c r="P37" s="54"/>
      <c r="Q37" s="63"/>
      <c r="R37" s="55"/>
      <c r="S37" s="54"/>
      <c r="T37" s="63"/>
      <c r="U37" s="55"/>
      <c r="V37" s="54"/>
      <c r="W37" s="63"/>
      <c r="X37" s="55"/>
      <c r="Y37" s="56">
        <f>'Misc Alt Schedule @ 7%'!Y37+'Safety Alt Schedule @ 7%'!AB37</f>
        <v>0</v>
      </c>
      <c r="Z37" s="63">
        <f t="shared" si="12"/>
        <v>-1</v>
      </c>
      <c r="AA37" s="297">
        <f>'Misc Alt Schedule @ 7%'!AA37+'Safety Alt Schedule @ 7%'!AD37</f>
        <v>0</v>
      </c>
      <c r="AB37" s="111"/>
      <c r="AC37" s="54">
        <f>'Misc Alt Schedule @ 7%'!AC37+'Safety Alt Schedule @ 7%'!AF37</f>
        <v>0</v>
      </c>
      <c r="AD37" s="63">
        <f t="shared" si="13"/>
        <v>-1</v>
      </c>
      <c r="AE37" s="55">
        <f>'Misc Alt Schedule @ 7%'!AE37+'Safety Alt Schedule @ 7%'!AH37</f>
        <v>0</v>
      </c>
      <c r="AG37" s="73"/>
      <c r="AH37" s="80"/>
      <c r="AM37" s="216">
        <v>500000</v>
      </c>
    </row>
    <row r="38" spans="1:39" s="50" customFormat="1" x14ac:dyDescent="0.25">
      <c r="A38" s="49">
        <f t="shared" si="3"/>
        <v>23</v>
      </c>
      <c r="B38" s="49">
        <f t="shared" si="1"/>
        <v>2039</v>
      </c>
      <c r="C38" s="49">
        <f t="shared" si="0"/>
        <v>2040</v>
      </c>
      <c r="D38" s="54"/>
      <c r="E38" s="63"/>
      <c r="F38" s="56"/>
      <c r="G38" s="54">
        <f>'Misc Alt Schedule @ 7%'!G38+'Safety Alt Schedule @ 7%'!G38</f>
        <v>0</v>
      </c>
      <c r="H38" s="63">
        <f t="shared" si="2"/>
        <v>7</v>
      </c>
      <c r="I38" s="55">
        <f>'Misc Alt Schedule @ 7%'!I38+'Safety Alt Schedule @ 7%'!I38</f>
        <v>0</v>
      </c>
      <c r="J38" s="56"/>
      <c r="K38" s="63"/>
      <c r="L38" s="56"/>
      <c r="M38" s="54"/>
      <c r="N38" s="63"/>
      <c r="O38" s="55"/>
      <c r="P38" s="54"/>
      <c r="Q38" s="63"/>
      <c r="R38" s="55"/>
      <c r="S38" s="54"/>
      <c r="T38" s="63"/>
      <c r="U38" s="55"/>
      <c r="V38" s="54"/>
      <c r="W38" s="63"/>
      <c r="X38" s="55"/>
      <c r="Y38" s="56">
        <f>'Misc Alt Schedule @ 7%'!Y38+'Safety Alt Schedule @ 7%'!AB38</f>
        <v>0</v>
      </c>
      <c r="Z38" s="63">
        <f t="shared" si="12"/>
        <v>-2</v>
      </c>
      <c r="AA38" s="297">
        <f>'Misc Alt Schedule @ 7%'!AA38+'Safety Alt Schedule @ 7%'!AD38</f>
        <v>0</v>
      </c>
      <c r="AB38" s="111"/>
      <c r="AC38" s="54">
        <f>'Misc Alt Schedule @ 7%'!AC38+'Safety Alt Schedule @ 7%'!AF38</f>
        <v>0</v>
      </c>
      <c r="AD38" s="63">
        <f t="shared" si="13"/>
        <v>-2</v>
      </c>
      <c r="AE38" s="55">
        <f>'Misc Alt Schedule @ 7%'!AE38+'Safety Alt Schedule @ 7%'!AH38</f>
        <v>0</v>
      </c>
      <c r="AG38" s="73"/>
      <c r="AH38" s="80"/>
      <c r="AM38" s="216">
        <v>500000</v>
      </c>
    </row>
    <row r="39" spans="1:39" s="50" customFormat="1" x14ac:dyDescent="0.25">
      <c r="A39" s="49">
        <f t="shared" si="3"/>
        <v>24</v>
      </c>
      <c r="B39" s="49">
        <f t="shared" si="1"/>
        <v>2040</v>
      </c>
      <c r="C39" s="49">
        <f t="shared" si="0"/>
        <v>2041</v>
      </c>
      <c r="D39" s="54"/>
      <c r="E39" s="63"/>
      <c r="F39" s="56"/>
      <c r="G39" s="54">
        <f>'Misc Alt Schedule @ 7%'!G39+'Safety Alt Schedule @ 7%'!G39</f>
        <v>0</v>
      </c>
      <c r="H39" s="63">
        <f t="shared" si="2"/>
        <v>6</v>
      </c>
      <c r="I39" s="55">
        <f>'Misc Alt Schedule @ 7%'!I39+'Safety Alt Schedule @ 7%'!I39</f>
        <v>0</v>
      </c>
      <c r="J39" s="56"/>
      <c r="K39" s="63"/>
      <c r="L39" s="56"/>
      <c r="M39" s="54"/>
      <c r="N39" s="63"/>
      <c r="O39" s="55"/>
      <c r="P39" s="54"/>
      <c r="Q39" s="63"/>
      <c r="R39" s="55"/>
      <c r="S39" s="54"/>
      <c r="T39" s="63"/>
      <c r="U39" s="55"/>
      <c r="V39" s="54"/>
      <c r="W39" s="63"/>
      <c r="X39" s="55"/>
      <c r="Y39" s="56">
        <f>'Misc Alt Schedule @ 7%'!Y39+'Safety Alt Schedule @ 7%'!AB39</f>
        <v>0</v>
      </c>
      <c r="Z39" s="63">
        <f t="shared" si="12"/>
        <v>-3</v>
      </c>
      <c r="AA39" s="297">
        <f>'Misc Alt Schedule @ 7%'!AA39+'Safety Alt Schedule @ 7%'!AD39</f>
        <v>0</v>
      </c>
      <c r="AB39" s="111"/>
      <c r="AC39" s="54">
        <f>'Misc Alt Schedule @ 7%'!AC39+'Safety Alt Schedule @ 7%'!AF39</f>
        <v>0</v>
      </c>
      <c r="AD39" s="63">
        <f t="shared" si="13"/>
        <v>-3</v>
      </c>
      <c r="AE39" s="55">
        <f>'Misc Alt Schedule @ 7%'!AE39+'Safety Alt Schedule @ 7%'!AH39</f>
        <v>0</v>
      </c>
      <c r="AG39" s="73"/>
      <c r="AH39" s="80"/>
      <c r="AM39" s="216">
        <v>500000</v>
      </c>
    </row>
    <row r="40" spans="1:39" s="50" customFormat="1" x14ac:dyDescent="0.25">
      <c r="A40" s="49">
        <f t="shared" si="3"/>
        <v>25</v>
      </c>
      <c r="B40" s="49">
        <f t="shared" si="1"/>
        <v>2041</v>
      </c>
      <c r="C40" s="49">
        <f t="shared" si="0"/>
        <v>2042</v>
      </c>
      <c r="D40" s="54"/>
      <c r="E40" s="63"/>
      <c r="F40" s="56"/>
      <c r="G40" s="54">
        <f>'Misc Alt Schedule @ 7%'!G40+'Safety Alt Schedule @ 7%'!G40</f>
        <v>0</v>
      </c>
      <c r="H40" s="63">
        <f t="shared" si="2"/>
        <v>5</v>
      </c>
      <c r="I40" s="55">
        <f>'Misc Alt Schedule @ 7%'!I40+'Safety Alt Schedule @ 7%'!I40</f>
        <v>0</v>
      </c>
      <c r="J40" s="56"/>
      <c r="K40" s="63"/>
      <c r="L40" s="56"/>
      <c r="M40" s="54"/>
      <c r="N40" s="63"/>
      <c r="O40" s="55"/>
      <c r="P40" s="54"/>
      <c r="Q40" s="63"/>
      <c r="R40" s="55"/>
      <c r="S40" s="54"/>
      <c r="T40" s="63"/>
      <c r="U40" s="55"/>
      <c r="V40" s="54"/>
      <c r="W40" s="63"/>
      <c r="X40" s="55"/>
      <c r="Y40" s="56">
        <f>'Misc Alt Schedule @ 7%'!Y40+'Safety Alt Schedule @ 7%'!AB40</f>
        <v>0</v>
      </c>
      <c r="Z40" s="63">
        <f t="shared" si="12"/>
        <v>-4</v>
      </c>
      <c r="AA40" s="297">
        <f>'Misc Alt Schedule @ 7%'!AA40+'Safety Alt Schedule @ 7%'!AD40</f>
        <v>0</v>
      </c>
      <c r="AB40" s="111"/>
      <c r="AC40" s="54">
        <f>'Misc Alt Schedule @ 7%'!AC40+'Safety Alt Schedule @ 7%'!AF40</f>
        <v>0</v>
      </c>
      <c r="AD40" s="63">
        <f t="shared" si="13"/>
        <v>-4</v>
      </c>
      <c r="AE40" s="55">
        <f>'Misc Alt Schedule @ 7%'!AE40+'Safety Alt Schedule @ 7%'!AH40</f>
        <v>0</v>
      </c>
      <c r="AG40" s="73"/>
      <c r="AH40" s="80"/>
      <c r="AM40" s="216">
        <v>500000</v>
      </c>
    </row>
    <row r="41" spans="1:39" s="50" customFormat="1" x14ac:dyDescent="0.25">
      <c r="A41" s="49">
        <f t="shared" si="3"/>
        <v>26</v>
      </c>
      <c r="B41" s="49">
        <f t="shared" si="1"/>
        <v>2042</v>
      </c>
      <c r="C41" s="49">
        <f t="shared" si="0"/>
        <v>2043</v>
      </c>
      <c r="D41" s="54"/>
      <c r="E41" s="63"/>
      <c r="F41" s="56"/>
      <c r="G41" s="54">
        <f>'Misc Alt Schedule @ 7%'!G41+'Safety Alt Schedule @ 7%'!G41</f>
        <v>0</v>
      </c>
      <c r="H41" s="63">
        <f t="shared" si="2"/>
        <v>4</v>
      </c>
      <c r="I41" s="55">
        <f>'Misc Alt Schedule @ 7%'!I41+'Safety Alt Schedule @ 7%'!I41</f>
        <v>0</v>
      </c>
      <c r="J41" s="56"/>
      <c r="K41" s="63"/>
      <c r="L41" s="56"/>
      <c r="M41" s="54"/>
      <c r="N41" s="63"/>
      <c r="O41" s="55"/>
      <c r="P41" s="54"/>
      <c r="Q41" s="63"/>
      <c r="R41" s="55"/>
      <c r="S41" s="54"/>
      <c r="T41" s="63"/>
      <c r="U41" s="55"/>
      <c r="V41" s="54"/>
      <c r="W41" s="63"/>
      <c r="X41" s="55"/>
      <c r="Y41" s="56">
        <f>'Misc Alt Schedule @ 7%'!Y41+'Safety Alt Schedule @ 7%'!AB41</f>
        <v>0</v>
      </c>
      <c r="Z41" s="63">
        <f t="shared" si="12"/>
        <v>-5</v>
      </c>
      <c r="AA41" s="297">
        <f>'Misc Alt Schedule @ 7%'!AA41+'Safety Alt Schedule @ 7%'!AD41</f>
        <v>0</v>
      </c>
      <c r="AB41" s="111"/>
      <c r="AC41" s="54">
        <f>'Misc Alt Schedule @ 7%'!AC41+'Safety Alt Schedule @ 7%'!AF41</f>
        <v>0</v>
      </c>
      <c r="AD41" s="63">
        <f t="shared" si="13"/>
        <v>-5</v>
      </c>
      <c r="AE41" s="55">
        <f>'Misc Alt Schedule @ 7%'!AE41+'Safety Alt Schedule @ 7%'!AH41</f>
        <v>0</v>
      </c>
      <c r="AG41" s="73"/>
      <c r="AH41" s="80"/>
      <c r="AM41" s="216">
        <v>500000</v>
      </c>
    </row>
    <row r="42" spans="1:39" s="50" customFormat="1" x14ac:dyDescent="0.25">
      <c r="A42" s="49">
        <f t="shared" si="3"/>
        <v>27</v>
      </c>
      <c r="B42" s="49">
        <f t="shared" si="1"/>
        <v>2043</v>
      </c>
      <c r="C42" s="49">
        <f t="shared" si="0"/>
        <v>2044</v>
      </c>
      <c r="D42" s="54"/>
      <c r="E42" s="63"/>
      <c r="F42" s="56"/>
      <c r="G42" s="54">
        <f>'Misc Alt Schedule @ 7%'!G42+'Safety Alt Schedule @ 7%'!G42</f>
        <v>0</v>
      </c>
      <c r="H42" s="63">
        <f t="shared" si="2"/>
        <v>3</v>
      </c>
      <c r="I42" s="55">
        <f>'Misc Alt Schedule @ 7%'!I42+'Safety Alt Schedule @ 7%'!I42</f>
        <v>0</v>
      </c>
      <c r="J42" s="56"/>
      <c r="K42" s="63"/>
      <c r="L42" s="56"/>
      <c r="M42" s="54"/>
      <c r="N42" s="63"/>
      <c r="O42" s="55"/>
      <c r="P42" s="54"/>
      <c r="Q42" s="63"/>
      <c r="R42" s="55"/>
      <c r="S42" s="54"/>
      <c r="T42" s="63"/>
      <c r="U42" s="55"/>
      <c r="V42" s="54"/>
      <c r="W42" s="63"/>
      <c r="X42" s="55"/>
      <c r="Y42" s="56">
        <f>'Misc Alt Schedule @ 7%'!Y42+'Safety Alt Schedule @ 7%'!AB42</f>
        <v>0</v>
      </c>
      <c r="Z42" s="63">
        <f t="shared" si="12"/>
        <v>-6</v>
      </c>
      <c r="AA42" s="297">
        <f>'Misc Alt Schedule @ 7%'!AA42+'Safety Alt Schedule @ 7%'!AD42</f>
        <v>0</v>
      </c>
      <c r="AB42" s="111"/>
      <c r="AC42" s="54">
        <f>'Misc Alt Schedule @ 7%'!AC42+'Safety Alt Schedule @ 7%'!AF42</f>
        <v>0</v>
      </c>
      <c r="AD42" s="63">
        <f t="shared" si="13"/>
        <v>-6</v>
      </c>
      <c r="AE42" s="55">
        <f>'Misc Alt Schedule @ 7%'!AE42+'Safety Alt Schedule @ 7%'!AH42</f>
        <v>0</v>
      </c>
      <c r="AG42" s="73"/>
      <c r="AH42" s="80"/>
      <c r="AM42" s="216">
        <v>500000</v>
      </c>
    </row>
    <row r="43" spans="1:39" s="50" customFormat="1" x14ac:dyDescent="0.25">
      <c r="A43" s="49">
        <f t="shared" si="3"/>
        <v>28</v>
      </c>
      <c r="B43" s="49">
        <f t="shared" si="1"/>
        <v>2044</v>
      </c>
      <c r="C43" s="49">
        <f t="shared" si="0"/>
        <v>2045</v>
      </c>
      <c r="D43" s="54"/>
      <c r="E43" s="63"/>
      <c r="F43" s="56"/>
      <c r="G43" s="54">
        <f>'Misc Alt Schedule @ 7%'!G43+'Safety Alt Schedule @ 7%'!G43</f>
        <v>0</v>
      </c>
      <c r="H43" s="63">
        <f t="shared" si="2"/>
        <v>2</v>
      </c>
      <c r="I43" s="55">
        <f>'Misc Alt Schedule @ 7%'!I43+'Safety Alt Schedule @ 7%'!I43</f>
        <v>0</v>
      </c>
      <c r="J43" s="56"/>
      <c r="K43" s="63"/>
      <c r="L43" s="56"/>
      <c r="M43" s="54"/>
      <c r="N43" s="63"/>
      <c r="O43" s="55"/>
      <c r="P43" s="54"/>
      <c r="Q43" s="63"/>
      <c r="R43" s="55"/>
      <c r="S43" s="54"/>
      <c r="T43" s="63"/>
      <c r="U43" s="55"/>
      <c r="V43" s="54"/>
      <c r="W43" s="63"/>
      <c r="X43" s="55"/>
      <c r="Y43" s="56">
        <f>'Misc Alt Schedule @ 7%'!Y43+'Safety Alt Schedule @ 7%'!AB43</f>
        <v>0</v>
      </c>
      <c r="Z43" s="63">
        <f t="shared" si="12"/>
        <v>-7</v>
      </c>
      <c r="AA43" s="297">
        <f>'Misc Alt Schedule @ 7%'!AA43+'Safety Alt Schedule @ 7%'!AD43</f>
        <v>0</v>
      </c>
      <c r="AB43" s="111"/>
      <c r="AC43" s="54">
        <f>'Misc Alt Schedule @ 7%'!AC43+'Safety Alt Schedule @ 7%'!AF43</f>
        <v>0</v>
      </c>
      <c r="AD43" s="63">
        <f t="shared" si="13"/>
        <v>-7</v>
      </c>
      <c r="AE43" s="55">
        <f>'Misc Alt Schedule @ 7%'!AE43+'Safety Alt Schedule @ 7%'!AH43</f>
        <v>0</v>
      </c>
      <c r="AG43" s="73"/>
      <c r="AH43" s="80"/>
      <c r="AM43" s="216">
        <v>500000</v>
      </c>
    </row>
    <row r="44" spans="1:39" x14ac:dyDescent="0.25">
      <c r="A44" s="49">
        <f t="shared" si="3"/>
        <v>29</v>
      </c>
      <c r="B44" s="49">
        <f t="shared" si="1"/>
        <v>2045</v>
      </c>
      <c r="C44" s="49">
        <f t="shared" si="0"/>
        <v>2046</v>
      </c>
      <c r="D44" s="54"/>
      <c r="E44" s="63"/>
      <c r="F44" s="56"/>
      <c r="G44" s="54">
        <f>'Misc Alt Schedule @ 7%'!G44+'Safety Alt Schedule @ 7%'!G44</f>
        <v>0</v>
      </c>
      <c r="H44" s="63">
        <f t="shared" si="2"/>
        <v>1</v>
      </c>
      <c r="I44" s="55">
        <f>'Misc Alt Schedule @ 7%'!I44+'Safety Alt Schedule @ 7%'!I44</f>
        <v>0</v>
      </c>
      <c r="J44" s="56"/>
      <c r="K44" s="63"/>
      <c r="L44" s="56"/>
      <c r="M44" s="54"/>
      <c r="N44" s="63"/>
      <c r="O44" s="55"/>
      <c r="P44" s="54"/>
      <c r="Q44" s="63"/>
      <c r="R44" s="55"/>
      <c r="S44" s="54"/>
      <c r="T44" s="63"/>
      <c r="U44" s="55"/>
      <c r="V44" s="54"/>
      <c r="W44" s="63"/>
      <c r="X44" s="55"/>
      <c r="Y44" s="56">
        <f>'Misc Alt Schedule @ 7%'!Y44+'Safety Alt Schedule @ 7%'!AB44</f>
        <v>0</v>
      </c>
      <c r="Z44" s="63">
        <f t="shared" si="12"/>
        <v>-8</v>
      </c>
      <c r="AA44" s="297">
        <f>'Misc Alt Schedule @ 7%'!AA44+'Safety Alt Schedule @ 7%'!AD44</f>
        <v>0</v>
      </c>
      <c r="AB44" s="111"/>
      <c r="AC44" s="54">
        <f>'Misc Alt Schedule @ 7%'!AC44+'Safety Alt Schedule @ 7%'!AF44</f>
        <v>0</v>
      </c>
      <c r="AD44" s="63">
        <f t="shared" si="13"/>
        <v>-8</v>
      </c>
      <c r="AE44" s="55">
        <f>'Misc Alt Schedule @ 7%'!AE44+'Safety Alt Schedule @ 7%'!AH44</f>
        <v>0</v>
      </c>
      <c r="AG44" s="73"/>
      <c r="AH44" s="80"/>
      <c r="AM44" s="216">
        <v>500000</v>
      </c>
    </row>
    <row r="45" spans="1:39" x14ac:dyDescent="0.25">
      <c r="A45" s="49">
        <f t="shared" si="3"/>
        <v>30</v>
      </c>
      <c r="B45" s="49">
        <f t="shared" si="1"/>
        <v>2046</v>
      </c>
      <c r="C45" s="49">
        <f t="shared" si="0"/>
        <v>2047</v>
      </c>
      <c r="D45" s="54"/>
      <c r="E45" s="63"/>
      <c r="F45" s="56"/>
      <c r="G45" s="54"/>
      <c r="H45" s="63"/>
      <c r="I45" s="55"/>
      <c r="J45" s="56"/>
      <c r="K45" s="63"/>
      <c r="L45" s="56"/>
      <c r="M45" s="54"/>
      <c r="N45" s="63"/>
      <c r="O45" s="55"/>
      <c r="P45" s="54"/>
      <c r="Q45" s="63"/>
      <c r="R45" s="55"/>
      <c r="S45" s="54"/>
      <c r="T45" s="63"/>
      <c r="U45" s="55"/>
      <c r="V45" s="54"/>
      <c r="W45" s="63"/>
      <c r="X45" s="55"/>
      <c r="Y45" s="56">
        <f>'Misc Alt Schedule @ 7%'!Y45+'Safety Alt Schedule @ 7%'!AB45</f>
        <v>0</v>
      </c>
      <c r="Z45" s="63">
        <f t="shared" si="12"/>
        <v>-9</v>
      </c>
      <c r="AA45" s="297">
        <f>'Misc Alt Schedule @ 7%'!AA45+'Safety Alt Schedule @ 7%'!AD45</f>
        <v>0</v>
      </c>
      <c r="AB45" s="111"/>
      <c r="AC45" s="54">
        <f>'Misc Alt Schedule @ 7%'!AC45+'Safety Alt Schedule @ 7%'!AF45</f>
        <v>0</v>
      </c>
      <c r="AD45" s="63">
        <f t="shared" si="13"/>
        <v>-9</v>
      </c>
      <c r="AE45" s="55">
        <f>'Misc Alt Schedule @ 7%'!AE45+'Safety Alt Schedule @ 7%'!AH45</f>
        <v>0</v>
      </c>
      <c r="AG45" s="73"/>
      <c r="AH45" s="80"/>
      <c r="AM45" s="216">
        <v>500000</v>
      </c>
    </row>
    <row r="46" spans="1:39" x14ac:dyDescent="0.25">
      <c r="C46" s="56"/>
      <c r="D46" s="57"/>
      <c r="E46" s="68"/>
      <c r="F46" s="59"/>
      <c r="G46" s="57"/>
      <c r="H46" s="68"/>
      <c r="I46" s="58"/>
      <c r="J46" s="61"/>
      <c r="K46" s="61"/>
      <c r="L46" s="61"/>
      <c r="M46" s="60"/>
      <c r="N46" s="61"/>
      <c r="O46" s="62"/>
      <c r="P46" s="60"/>
      <c r="Q46" s="61"/>
      <c r="R46" s="62"/>
      <c r="S46" s="60"/>
      <c r="T46" s="61"/>
      <c r="U46" s="62"/>
      <c r="V46" s="60"/>
      <c r="W46" s="61"/>
      <c r="X46" s="62"/>
      <c r="Y46" s="67"/>
      <c r="Z46" s="67"/>
      <c r="AA46" s="298"/>
      <c r="AB46" s="52"/>
      <c r="AC46" s="66"/>
      <c r="AD46" s="67"/>
      <c r="AE46" s="298"/>
      <c r="AG46" s="73"/>
      <c r="AH46" s="80"/>
    </row>
    <row r="47" spans="1:39" x14ac:dyDescent="0.25">
      <c r="C47" s="47"/>
      <c r="Y47" s="49" t="s">
        <v>81</v>
      </c>
      <c r="AA47" s="47">
        <f>SUM(AA16:AA46)</f>
        <v>683355940.07580483</v>
      </c>
      <c r="AC47" s="49" t="s">
        <v>81</v>
      </c>
      <c r="AE47" s="47">
        <f>SUM(AE16:AE46)</f>
        <v>680341082.96982944</v>
      </c>
    </row>
    <row r="48" spans="1:39" x14ac:dyDescent="0.25">
      <c r="B48" s="215">
        <v>0</v>
      </c>
      <c r="C48" s="52"/>
      <c r="D48" s="56"/>
      <c r="E48" s="49" t="s">
        <v>152</v>
      </c>
      <c r="Y48" s="49" t="s">
        <v>86</v>
      </c>
      <c r="AA48" s="48">
        <f>NPV(0.03,AA16:AA45)</f>
        <v>514465618.55156451</v>
      </c>
      <c r="AB48" s="48"/>
      <c r="AC48" s="73"/>
      <c r="AE48" s="48">
        <f>NPV(0.03,AE16:AE45)</f>
        <v>506685139.80656213</v>
      </c>
    </row>
    <row r="49" spans="2:31" x14ac:dyDescent="0.25">
      <c r="B49" s="215">
        <v>-1</v>
      </c>
      <c r="C49" s="52"/>
      <c r="D49" s="274"/>
      <c r="E49" s="49" t="s">
        <v>153</v>
      </c>
    </row>
    <row r="50" spans="2:31" x14ac:dyDescent="0.25">
      <c r="B50" s="215">
        <v>1</v>
      </c>
      <c r="C50" s="52"/>
      <c r="D50" s="56"/>
      <c r="E50" s="49" t="s">
        <v>154</v>
      </c>
      <c r="AD50" s="106" t="s">
        <v>228</v>
      </c>
      <c r="AE50" s="47" t="e">
        <f>#REF!-AE47</f>
        <v>#REF!</v>
      </c>
    </row>
    <row r="51" spans="2:31" x14ac:dyDescent="0.25">
      <c r="AD51" s="106" t="s">
        <v>227</v>
      </c>
      <c r="AE51" s="47" t="e">
        <f>#REF!-AE48</f>
        <v>#REF!</v>
      </c>
    </row>
  </sheetData>
  <mergeCells count="12">
    <mergeCell ref="AD5:AI5"/>
    <mergeCell ref="Y11:AA11"/>
    <mergeCell ref="D12:F12"/>
    <mergeCell ref="G12:I12"/>
    <mergeCell ref="J12:L12"/>
    <mergeCell ref="M12:O12"/>
    <mergeCell ref="Y12:AA12"/>
    <mergeCell ref="P12:R12"/>
    <mergeCell ref="S12:U12"/>
    <mergeCell ref="V12:X12"/>
    <mergeCell ref="AC11:AE11"/>
    <mergeCell ref="AC12:AE12"/>
  </mergeCells>
  <conditionalFormatting sqref="D17">
    <cfRule type="cellIs" dxfId="503" priority="55" operator="greaterThanOrEqual">
      <formula>D16</formula>
    </cfRule>
    <cfRule type="cellIs" dxfId="502" priority="56" operator="greaterThan">
      <formula>D$16</formula>
    </cfRule>
    <cfRule type="cellIs" dxfId="501" priority="57" operator="lessThanOrEqual">
      <formula>D$16</formula>
    </cfRule>
  </conditionalFormatting>
  <conditionalFormatting sqref="D18:D33">
    <cfRule type="cellIs" dxfId="500" priority="52" operator="greaterThanOrEqual">
      <formula>D17</formula>
    </cfRule>
    <cfRule type="cellIs" dxfId="499" priority="53" operator="greaterThan">
      <formula>D$16</formula>
    </cfRule>
    <cfRule type="cellIs" dxfId="498" priority="54" operator="lessThanOrEqual">
      <formula>D$16</formula>
    </cfRule>
  </conditionalFormatting>
  <conditionalFormatting sqref="D48">
    <cfRule type="cellIs" dxfId="497" priority="49" operator="greaterThanOrEqual">
      <formula>B48</formula>
    </cfRule>
    <cfRule type="cellIs" dxfId="496" priority="50" operator="greaterThan">
      <formula>B49</formula>
    </cfRule>
    <cfRule type="cellIs" dxfId="495" priority="51" operator="lessThanOrEqual">
      <formula>51</formula>
    </cfRule>
  </conditionalFormatting>
  <conditionalFormatting sqref="G16:G46">
    <cfRule type="cellIs" dxfId="494" priority="59" operator="greaterThanOrEqual">
      <formula>G15</formula>
    </cfRule>
    <cfRule type="cellIs" dxfId="493" priority="60" operator="greaterThan">
      <formula>G$15</formula>
    </cfRule>
    <cfRule type="cellIs" dxfId="492" priority="61" operator="lessThanOrEqual">
      <formula>G$15</formula>
    </cfRule>
  </conditionalFormatting>
  <conditionalFormatting sqref="Y18:Y45">
    <cfRule type="cellIs" dxfId="491" priority="43" operator="greaterThanOrEqual">
      <formula>Y17</formula>
    </cfRule>
    <cfRule type="cellIs" dxfId="490" priority="44" operator="greaterThan">
      <formula>Y$16</formula>
    </cfRule>
    <cfRule type="cellIs" dxfId="489" priority="45" operator="lessThanOrEqual">
      <formula>Y$16</formula>
    </cfRule>
  </conditionalFormatting>
  <conditionalFormatting sqref="M17">
    <cfRule type="cellIs" dxfId="488" priority="40" operator="greaterThanOrEqual">
      <formula>M16</formula>
    </cfRule>
    <cfRule type="cellIs" dxfId="487" priority="41" operator="greaterThan">
      <formula>M$16</formula>
    </cfRule>
    <cfRule type="cellIs" dxfId="486" priority="42" operator="lessThanOrEqual">
      <formula>M$16</formula>
    </cfRule>
  </conditionalFormatting>
  <conditionalFormatting sqref="Y17">
    <cfRule type="cellIs" dxfId="485" priority="46" operator="greaterThanOrEqual">
      <formula>Y16</formula>
    </cfRule>
    <cfRule type="cellIs" dxfId="484" priority="47" operator="greaterThan">
      <formula>Y$16</formula>
    </cfRule>
    <cfRule type="cellIs" dxfId="483" priority="48" operator="lessThanOrEqual">
      <formula>Y$16</formula>
    </cfRule>
  </conditionalFormatting>
  <conditionalFormatting sqref="M18:M35">
    <cfRule type="cellIs" dxfId="482" priority="37" operator="greaterThanOrEqual">
      <formula>M17</formula>
    </cfRule>
    <cfRule type="cellIs" dxfId="481" priority="38" operator="greaterThan">
      <formula>M$16</formula>
    </cfRule>
    <cfRule type="cellIs" dxfId="480" priority="39" operator="lessThanOrEqual">
      <formula>M$16</formula>
    </cfRule>
  </conditionalFormatting>
  <conditionalFormatting sqref="J18:J35">
    <cfRule type="cellIs" dxfId="479" priority="31" operator="greaterThanOrEqual">
      <formula>J17</formula>
    </cfRule>
    <cfRule type="cellIs" dxfId="478" priority="32" operator="greaterThan">
      <formula>J$16</formula>
    </cfRule>
    <cfRule type="cellIs" dxfId="477" priority="33" operator="lessThanOrEqual">
      <formula>J$16</formula>
    </cfRule>
  </conditionalFormatting>
  <conditionalFormatting sqref="J17">
    <cfRule type="cellIs" dxfId="476" priority="34" operator="greaterThanOrEqual">
      <formula>J16</formula>
    </cfRule>
    <cfRule type="cellIs" dxfId="475" priority="35" operator="greaterThan">
      <formula>J$16</formula>
    </cfRule>
    <cfRule type="cellIs" dxfId="474" priority="36" operator="lessThanOrEqual">
      <formula>J$16</formula>
    </cfRule>
  </conditionalFormatting>
  <conditionalFormatting sqref="D50">
    <cfRule type="cellIs" dxfId="473" priority="62" operator="greaterThanOrEqual">
      <formula>B50</formula>
    </cfRule>
    <cfRule type="cellIs" dxfId="472" priority="63" operator="greaterThan">
      <formula>D48</formula>
    </cfRule>
    <cfRule type="cellIs" dxfId="471" priority="64" operator="lessThanOrEqual">
      <formula>51</formula>
    </cfRule>
  </conditionalFormatting>
  <conditionalFormatting sqref="S17:S35">
    <cfRule type="cellIs" dxfId="470" priority="25" operator="greaterThanOrEqual">
      <formula>S16</formula>
    </cfRule>
    <cfRule type="cellIs" dxfId="469" priority="26" operator="greaterThan">
      <formula>S$16</formula>
    </cfRule>
    <cfRule type="cellIs" dxfId="468" priority="27" operator="lessThanOrEqual">
      <formula>S$16</formula>
    </cfRule>
  </conditionalFormatting>
  <conditionalFormatting sqref="P17:P35">
    <cfRule type="cellIs" dxfId="467" priority="28" operator="greaterThanOrEqual">
      <formula>P16</formula>
    </cfRule>
    <cfRule type="cellIs" dxfId="466" priority="29" operator="greaterThan">
      <formula>P$16</formula>
    </cfRule>
    <cfRule type="cellIs" dxfId="465" priority="30" operator="lessThanOrEqual">
      <formula>P$16</formula>
    </cfRule>
  </conditionalFormatting>
  <conditionalFormatting sqref="V17:V35">
    <cfRule type="cellIs" dxfId="464" priority="22" operator="greaterThanOrEqual">
      <formula>V16</formula>
    </cfRule>
    <cfRule type="cellIs" dxfId="463" priority="23" operator="greaterThan">
      <formula>V$16</formula>
    </cfRule>
    <cfRule type="cellIs" dxfId="462" priority="24" operator="lessThanOrEqual">
      <formula>V$16</formula>
    </cfRule>
  </conditionalFormatting>
  <conditionalFormatting sqref="AC18:AC45">
    <cfRule type="cellIs" dxfId="461" priority="1" operator="greaterThanOrEqual">
      <formula>AC17</formula>
    </cfRule>
    <cfRule type="cellIs" dxfId="460" priority="2" operator="greaterThan">
      <formula>AC$16</formula>
    </cfRule>
    <cfRule type="cellIs" dxfId="459" priority="3" operator="lessThanOrEqual">
      <formula>AC$16</formula>
    </cfRule>
  </conditionalFormatting>
  <conditionalFormatting sqref="AC17">
    <cfRule type="cellIs" dxfId="458" priority="4" operator="greaterThanOrEqual">
      <formula>AC16</formula>
    </cfRule>
    <cfRule type="cellIs" dxfId="457" priority="5" operator="greaterThan">
      <formula>AC$16</formula>
    </cfRule>
    <cfRule type="cellIs" dxfId="456" priority="6" operator="lessThanOrEqual">
      <formula>AC$16</formula>
    </cfRule>
  </conditionalFormatting>
  <conditionalFormatting sqref="AB14:AB45">
    <cfRule type="iconSet" priority="181">
      <iconSet>
        <cfvo type="percent" val="0"/>
        <cfvo type="num" val="0.7"/>
        <cfvo type="num" val="0.8"/>
      </iconSet>
    </cfRule>
  </conditionalFormatting>
  <pageMargins left="0.25" right="0.25" top="0.25" bottom="0.25" header="0.3" footer="0.3"/>
  <pageSetup scale="47" orientation="landscape" r:id="rId1"/>
  <headerFooter differentFirst="1">
    <oddFooter>&amp;R&amp;P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BA56"/>
  <sheetViews>
    <sheetView showGridLines="0" zoomScaleNormal="100" workbookViewId="0">
      <selection activeCell="K5" sqref="K5"/>
    </sheetView>
  </sheetViews>
  <sheetFormatPr defaultColWidth="9.140625" defaultRowHeight="15" x14ac:dyDescent="0.25"/>
  <cols>
    <col min="1" max="1" width="6.85546875" style="49" customWidth="1"/>
    <col min="2" max="3" width="5" style="49" bestFit="1" customWidth="1"/>
    <col min="4" max="4" width="14.7109375" style="49" customWidth="1"/>
    <col min="5" max="5" width="6.28515625" style="49" customWidth="1"/>
    <col min="6" max="6" width="12.28515625" style="49" customWidth="1"/>
    <col min="7" max="7" width="13" style="49" customWidth="1"/>
    <col min="8" max="8" width="9.5703125" style="49" customWidth="1"/>
    <col min="9" max="9" width="11.85546875" style="49" customWidth="1"/>
    <col min="10" max="10" width="14.85546875" style="49" customWidth="1"/>
    <col min="11" max="11" width="9.140625" style="49" customWidth="1"/>
    <col min="12" max="12" width="11.85546875" style="49" customWidth="1"/>
    <col min="13" max="13" width="12.28515625" style="49" customWidth="1"/>
    <col min="14" max="14" width="6.28515625" style="49" customWidth="1"/>
    <col min="15" max="15" width="11.28515625" style="49" customWidth="1"/>
    <col min="16" max="16" width="15.140625" style="416" hidden="1" customWidth="1"/>
    <col min="17" max="17" width="7" style="416" hidden="1" customWidth="1"/>
    <col min="18" max="18" width="15.5703125" style="416" hidden="1" customWidth="1"/>
    <col min="19" max="19" width="14" style="50" hidden="1" customWidth="1"/>
    <col min="20" max="20" width="15.28515625" style="49" hidden="1" customWidth="1"/>
    <col min="21" max="21" width="14.42578125" style="49" hidden="1" customWidth="1"/>
    <col min="22" max="22" width="5.85546875" style="49" hidden="1" customWidth="1"/>
    <col min="23" max="23" width="12.28515625" style="49" hidden="1" customWidth="1"/>
    <col min="24" max="24" width="14.42578125" style="49" hidden="1" customWidth="1"/>
    <col min="25" max="25" width="5.85546875" style="49" hidden="1" customWidth="1"/>
    <col min="26" max="26" width="13" style="49" hidden="1" customWidth="1"/>
    <col min="27" max="27" width="12.28515625" style="49" customWidth="1"/>
    <col min="28" max="28" width="9.140625" style="49" bestFit="1" customWidth="1"/>
    <col min="29" max="29" width="11.28515625" style="49" customWidth="1"/>
    <col min="30" max="30" width="12.28515625" style="49" customWidth="1"/>
    <col min="31" max="31" width="9.140625" style="49" bestFit="1" customWidth="1"/>
    <col min="32" max="32" width="11.28515625" style="49" customWidth="1"/>
    <col min="33" max="33" width="12.28515625" style="49" customWidth="1"/>
    <col min="34" max="34" width="9.140625" style="49" customWidth="1"/>
    <col min="35" max="35" width="11.28515625" style="49" customWidth="1"/>
    <col min="36" max="36" width="12.28515625" style="49" customWidth="1"/>
    <col min="37" max="37" width="9.140625" style="49" customWidth="1"/>
    <col min="38" max="38" width="11.28515625" style="49" customWidth="1"/>
    <col min="39" max="39" width="15.140625" style="49" bestFit="1" customWidth="1"/>
    <col min="40" max="40" width="7" style="49" customWidth="1"/>
    <col min="41" max="41" width="15.5703125" style="49" bestFit="1" customWidth="1"/>
    <col min="42" max="42" width="4" style="49" customWidth="1"/>
    <col min="43" max="43" width="13.42578125" style="49" bestFit="1" customWidth="1"/>
    <col min="44" max="44" width="4.85546875" style="49" bestFit="1" customWidth="1"/>
    <col min="45" max="45" width="13.7109375" style="49" bestFit="1" customWidth="1"/>
    <col min="46" max="49" width="9.140625" style="49"/>
    <col min="50" max="50" width="4.85546875" style="49" customWidth="1"/>
    <col min="51" max="52" width="9.140625" style="49"/>
    <col min="53" max="53" width="12.5703125" style="215" bestFit="1" customWidth="1"/>
    <col min="54" max="16384" width="9.140625" style="49"/>
  </cols>
  <sheetData>
    <row r="1" spans="1:53" ht="11.25" customHeight="1" thickBot="1" x14ac:dyDescent="0.3"/>
    <row r="2" spans="1:53" ht="27.75" thickTop="1" thickBot="1" x14ac:dyDescent="0.45">
      <c r="D2" s="214" t="s">
        <v>245</v>
      </c>
      <c r="G2" s="246" t="s">
        <v>141</v>
      </c>
      <c r="H2" s="244">
        <v>7.4999999999999997E-2</v>
      </c>
      <c r="P2" s="49"/>
      <c r="Q2" s="49"/>
      <c r="R2" s="49"/>
      <c r="S2" s="49"/>
      <c r="AD2" s="246" t="s">
        <v>141</v>
      </c>
      <c r="AE2" s="406">
        <v>7.2499999999999995E-2</v>
      </c>
      <c r="AG2" s="246" t="s">
        <v>141</v>
      </c>
      <c r="AH2" s="406">
        <v>7.0000000000000007E-2</v>
      </c>
      <c r="AJ2" s="246" t="s">
        <v>141</v>
      </c>
      <c r="AK2" s="406">
        <v>6.5000000000000002E-2</v>
      </c>
    </row>
    <row r="3" spans="1:53" ht="27.75" thickTop="1" thickBot="1" x14ac:dyDescent="0.45">
      <c r="D3" s="214"/>
      <c r="G3" s="247" t="s">
        <v>142</v>
      </c>
      <c r="H3" s="244">
        <v>0.03</v>
      </c>
      <c r="P3" s="49"/>
      <c r="Q3" s="49"/>
      <c r="R3" s="49"/>
      <c r="S3" s="49"/>
      <c r="AD3" s="247" t="s">
        <v>142</v>
      </c>
      <c r="AE3" s="244">
        <v>0.03</v>
      </c>
      <c r="AG3" s="247" t="s">
        <v>142</v>
      </c>
      <c r="AH3" s="244">
        <v>0.03</v>
      </c>
      <c r="AJ3" s="247" t="s">
        <v>142</v>
      </c>
      <c r="AK3" s="244">
        <v>0.03</v>
      </c>
    </row>
    <row r="4" spans="1:53" ht="15.75" thickTop="1" x14ac:dyDescent="0.25">
      <c r="G4" s="248"/>
      <c r="H4" s="250"/>
      <c r="P4" s="49"/>
      <c r="Q4" s="49"/>
      <c r="R4" s="49"/>
      <c r="S4" s="49"/>
      <c r="AD4" s="248"/>
      <c r="AE4" s="250"/>
      <c r="AG4" s="248"/>
      <c r="AH4" s="250"/>
      <c r="AJ4" s="248"/>
      <c r="AK4" s="250"/>
    </row>
    <row r="5" spans="1:53" x14ac:dyDescent="0.25">
      <c r="G5" s="248" t="s">
        <v>143</v>
      </c>
      <c r="H5" s="250">
        <v>5</v>
      </c>
      <c r="P5" s="49"/>
      <c r="Q5" s="49"/>
      <c r="R5" s="49"/>
      <c r="S5" s="49"/>
      <c r="AD5" s="248" t="s">
        <v>143</v>
      </c>
      <c r="AE5" s="250">
        <v>5</v>
      </c>
      <c r="AG5" s="248" t="s">
        <v>143</v>
      </c>
      <c r="AH5" s="250">
        <v>5</v>
      </c>
      <c r="AJ5" s="248" t="s">
        <v>143</v>
      </c>
      <c r="AK5" s="250">
        <v>5</v>
      </c>
      <c r="AQ5" s="73"/>
      <c r="AR5" s="540"/>
      <c r="AS5" s="540"/>
      <c r="AT5" s="540"/>
      <c r="AU5" s="540"/>
      <c r="AV5" s="540"/>
      <c r="AW5" s="540"/>
    </row>
    <row r="6" spans="1:53" x14ac:dyDescent="0.25">
      <c r="G6" s="248" t="s">
        <v>144</v>
      </c>
      <c r="H6" s="251">
        <f>H15+1-H5</f>
        <v>26</v>
      </c>
      <c r="P6" s="49"/>
      <c r="Q6" s="49"/>
      <c r="R6" s="49"/>
      <c r="S6" s="49"/>
      <c r="AD6" s="248" t="s">
        <v>144</v>
      </c>
      <c r="AE6" s="251">
        <f>AE15+1-AE5</f>
        <v>-4</v>
      </c>
      <c r="AG6" s="248" t="s">
        <v>144</v>
      </c>
      <c r="AH6" s="251">
        <f>AH15+1-AH5</f>
        <v>-4</v>
      </c>
      <c r="AJ6" s="248" t="s">
        <v>144</v>
      </c>
      <c r="AK6" s="251">
        <f>AK15+1-AK5</f>
        <v>-4</v>
      </c>
    </row>
    <row r="7" spans="1:53" x14ac:dyDescent="0.25">
      <c r="G7" s="248" t="s">
        <v>145</v>
      </c>
      <c r="H7" s="252">
        <f>1/(-PMT((1+H2)/(1+H3)-1,H5,1,0,1))</f>
        <v>4.5985546446254109</v>
      </c>
      <c r="P7" s="49"/>
      <c r="Q7" s="49"/>
      <c r="R7" s="49"/>
      <c r="S7" s="49"/>
      <c r="AD7" s="248" t="s">
        <v>145</v>
      </c>
      <c r="AE7" s="252">
        <f>1/(-PMT((1+AE2)/(1+AE3)-1,AE5,1,0,1))</f>
        <v>4.619123960123531</v>
      </c>
      <c r="AG7" s="248" t="s">
        <v>145</v>
      </c>
      <c r="AH7" s="252">
        <f>1/(-PMT((1+AH2)/(1+AH3)-1,AH5,1,0,1))</f>
        <v>4.6398839816425737</v>
      </c>
      <c r="AJ7" s="248" t="s">
        <v>145</v>
      </c>
      <c r="AK7" s="252">
        <f>1/(-PMT((1+AK2)/(1+AK3)-1,AK5,1,0,1))</f>
        <v>4.6819855248827587</v>
      </c>
    </row>
    <row r="8" spans="1:53" x14ac:dyDescent="0.25">
      <c r="G8" s="249" t="s">
        <v>146</v>
      </c>
      <c r="H8" s="253">
        <f>1/(-PMT((1+H2)/(1+H3)-1,H6,1,0,1)*(1+H2)^0.5)</f>
        <v>15.461009016959615</v>
      </c>
      <c r="P8" s="49"/>
      <c r="Q8" s="49"/>
      <c r="R8" s="49"/>
      <c r="S8" s="49"/>
      <c r="AD8" s="249" t="s">
        <v>146</v>
      </c>
      <c r="AE8" s="253">
        <f>1/(-PMT((1+AE2)/(1+AE3)-1,AE6,1,0,1)*(1+AE2)^0.5)</f>
        <v>-4.2776494233129121</v>
      </c>
      <c r="AG8" s="249" t="s">
        <v>146</v>
      </c>
      <c r="AH8" s="253">
        <f>1/(-PMT((1+AH2)/(1+AH3)-1,AH6,1,0,1)*(1+AH2)^0.5)</f>
        <v>-4.2572427753057474</v>
      </c>
      <c r="AJ8" s="249" t="s">
        <v>146</v>
      </c>
      <c r="AK8" s="253">
        <f>1/(-PMT((1+AK2)/(1+AK3)-1,AK6,1,0,1)*(1+AK2)^0.5)</f>
        <v>-4.2166658654877605</v>
      </c>
    </row>
    <row r="9" spans="1:53" ht="15.75" thickBot="1" x14ac:dyDescent="0.3">
      <c r="A9" s="476">
        <v>1</v>
      </c>
      <c r="B9" s="476">
        <v>2</v>
      </c>
      <c r="C9" s="476">
        <v>3</v>
      </c>
      <c r="D9" s="476">
        <v>4</v>
      </c>
      <c r="E9" s="476">
        <v>5</v>
      </c>
      <c r="F9" s="476">
        <v>6</v>
      </c>
      <c r="G9" s="476">
        <v>7</v>
      </c>
      <c r="H9" s="476">
        <v>8</v>
      </c>
      <c r="I9" s="476">
        <v>9</v>
      </c>
      <c r="J9" s="476">
        <v>10</v>
      </c>
      <c r="K9" s="476">
        <v>11</v>
      </c>
      <c r="L9" s="476">
        <v>12</v>
      </c>
      <c r="M9" s="476">
        <v>13</v>
      </c>
      <c r="N9" s="476">
        <v>14</v>
      </c>
      <c r="O9" s="476">
        <v>15</v>
      </c>
      <c r="P9" s="476">
        <v>16</v>
      </c>
      <c r="Q9" s="476">
        <v>17</v>
      </c>
      <c r="R9" s="476">
        <v>18</v>
      </c>
      <c r="S9" s="476">
        <v>19</v>
      </c>
      <c r="T9" s="476">
        <v>20</v>
      </c>
      <c r="U9" s="476">
        <v>21</v>
      </c>
      <c r="V9" s="476">
        <v>22</v>
      </c>
      <c r="W9" s="476">
        <v>23</v>
      </c>
      <c r="X9" s="476">
        <v>24</v>
      </c>
      <c r="Y9" s="476">
        <v>25</v>
      </c>
      <c r="Z9" s="476">
        <v>26</v>
      </c>
      <c r="AA9" s="476">
        <v>27</v>
      </c>
      <c r="AB9" s="476">
        <v>28</v>
      </c>
      <c r="AC9" s="476">
        <v>29</v>
      </c>
      <c r="AD9" s="476">
        <v>30</v>
      </c>
      <c r="AE9" s="476">
        <v>31</v>
      </c>
      <c r="AF9" s="476">
        <v>32</v>
      </c>
      <c r="AG9" s="476">
        <v>33</v>
      </c>
      <c r="AH9" s="476">
        <v>34</v>
      </c>
      <c r="AI9" s="476">
        <v>35</v>
      </c>
      <c r="AJ9" s="476">
        <v>36</v>
      </c>
      <c r="AK9" s="476">
        <v>37</v>
      </c>
      <c r="AL9" s="476">
        <v>38</v>
      </c>
      <c r="AM9" s="476">
        <v>39</v>
      </c>
      <c r="AN9" s="476">
        <v>40</v>
      </c>
      <c r="AO9" s="476">
        <v>41</v>
      </c>
    </row>
    <row r="10" spans="1:53" x14ac:dyDescent="0.25">
      <c r="C10" s="378"/>
      <c r="D10" s="590" t="s">
        <v>159</v>
      </c>
      <c r="E10" s="591"/>
      <c r="F10" s="591"/>
      <c r="G10" s="591"/>
      <c r="H10" s="591"/>
      <c r="I10" s="591"/>
      <c r="J10" s="591"/>
      <c r="K10" s="591"/>
      <c r="L10" s="591"/>
      <c r="M10" s="591"/>
      <c r="N10" s="591"/>
      <c r="O10" s="591"/>
      <c r="P10" s="591"/>
      <c r="Q10" s="591"/>
      <c r="R10" s="592"/>
      <c r="S10" s="280"/>
      <c r="T10" s="281"/>
      <c r="U10" s="219"/>
      <c r="V10" s="219"/>
      <c r="W10" s="219"/>
      <c r="X10" s="219"/>
      <c r="Y10" s="219"/>
      <c r="Z10" s="219"/>
      <c r="AA10" s="409"/>
      <c r="AB10" s="409"/>
      <c r="AC10" s="409"/>
      <c r="AD10" s="409"/>
      <c r="AE10" s="409"/>
      <c r="AF10" s="409"/>
      <c r="AG10" s="409"/>
      <c r="AH10" s="409"/>
      <c r="AI10" s="409"/>
      <c r="AJ10" s="409"/>
      <c r="AK10" s="409"/>
      <c r="AL10" s="409"/>
      <c r="AM10" s="409"/>
      <c r="AN10" s="409"/>
      <c r="AO10" s="410"/>
      <c r="AP10" s="219"/>
      <c r="AQ10" s="408"/>
      <c r="AR10" s="409"/>
      <c r="AS10" s="410"/>
    </row>
    <row r="11" spans="1:53" x14ac:dyDescent="0.25">
      <c r="D11" s="288"/>
      <c r="E11" s="289" t="s">
        <v>155</v>
      </c>
      <c r="F11" s="290"/>
      <c r="G11" s="30"/>
      <c r="H11" s="254" t="s">
        <v>156</v>
      </c>
      <c r="I11" s="254"/>
      <c r="J11" s="207"/>
      <c r="K11" s="208" t="s">
        <v>157</v>
      </c>
      <c r="L11" s="208"/>
      <c r="M11" s="304"/>
      <c r="N11" s="305" t="s">
        <v>212</v>
      </c>
      <c r="O11" s="305"/>
      <c r="P11" s="304"/>
      <c r="Q11" s="305" t="s">
        <v>213</v>
      </c>
      <c r="R11" s="305"/>
      <c r="S11" s="304"/>
      <c r="T11" s="305" t="s">
        <v>214</v>
      </c>
      <c r="U11" s="305"/>
      <c r="V11" s="304"/>
      <c r="W11" s="305" t="s">
        <v>215</v>
      </c>
      <c r="X11" s="305"/>
      <c r="Y11" s="217"/>
      <c r="Z11" s="217"/>
      <c r="AA11" s="304"/>
      <c r="AB11" s="305" t="s">
        <v>213</v>
      </c>
      <c r="AC11" s="305"/>
      <c r="AD11" s="304"/>
      <c r="AE11" s="305" t="s">
        <v>214</v>
      </c>
      <c r="AF11" s="305"/>
      <c r="AG11" s="304"/>
      <c r="AH11" s="305" t="s">
        <v>215</v>
      </c>
      <c r="AI11" s="305"/>
      <c r="AJ11" s="304"/>
      <c r="AK11" s="305" t="s">
        <v>221</v>
      </c>
      <c r="AL11" s="305"/>
      <c r="AM11" s="576"/>
      <c r="AN11" s="577"/>
      <c r="AO11" s="578"/>
      <c r="AP11" s="217"/>
      <c r="AQ11" s="576"/>
      <c r="AR11" s="577"/>
      <c r="AS11" s="578"/>
    </row>
    <row r="12" spans="1:53" x14ac:dyDescent="0.25">
      <c r="C12" s="380"/>
      <c r="D12" s="593" t="s">
        <v>147</v>
      </c>
      <c r="E12" s="594"/>
      <c r="F12" s="594"/>
      <c r="G12" s="595" t="s">
        <v>148</v>
      </c>
      <c r="H12" s="596"/>
      <c r="I12" s="597"/>
      <c r="J12" s="568" t="s">
        <v>160</v>
      </c>
      <c r="K12" s="569"/>
      <c r="L12" s="570"/>
      <c r="M12" s="568" t="s">
        <v>160</v>
      </c>
      <c r="N12" s="569"/>
      <c r="O12" s="570"/>
      <c r="P12" s="598" t="s">
        <v>53</v>
      </c>
      <c r="Q12" s="599"/>
      <c r="R12" s="600"/>
      <c r="S12" s="381"/>
      <c r="T12" s="382"/>
      <c r="U12" s="568" t="s">
        <v>183</v>
      </c>
      <c r="V12" s="569"/>
      <c r="W12" s="570"/>
      <c r="X12" s="568" t="s">
        <v>192</v>
      </c>
      <c r="Y12" s="569"/>
      <c r="Z12" s="570"/>
      <c r="AA12" s="568" t="s">
        <v>160</v>
      </c>
      <c r="AB12" s="569"/>
      <c r="AC12" s="570"/>
      <c r="AD12" s="568" t="s">
        <v>160</v>
      </c>
      <c r="AE12" s="569"/>
      <c r="AF12" s="570"/>
      <c r="AG12" s="568" t="s">
        <v>160</v>
      </c>
      <c r="AH12" s="569"/>
      <c r="AI12" s="570"/>
      <c r="AJ12" s="568" t="s">
        <v>160</v>
      </c>
      <c r="AK12" s="569"/>
      <c r="AL12" s="570"/>
      <c r="AM12" s="565" t="s">
        <v>53</v>
      </c>
      <c r="AN12" s="566"/>
      <c r="AO12" s="567"/>
      <c r="AP12" s="218"/>
      <c r="AQ12" s="565" t="s">
        <v>226</v>
      </c>
      <c r="AR12" s="566"/>
      <c r="AS12" s="567"/>
    </row>
    <row r="13" spans="1:53" x14ac:dyDescent="0.25">
      <c r="B13" s="49" t="s">
        <v>161</v>
      </c>
      <c r="C13" s="88" t="s">
        <v>162</v>
      </c>
      <c r="D13" s="74" t="s">
        <v>49</v>
      </c>
      <c r="E13" s="75" t="s">
        <v>50</v>
      </c>
      <c r="F13" s="76" t="s">
        <v>51</v>
      </c>
      <c r="G13" s="77" t="s">
        <v>49</v>
      </c>
      <c r="H13" s="78" t="s">
        <v>50</v>
      </c>
      <c r="I13" s="78" t="s">
        <v>51</v>
      </c>
      <c r="J13" s="74" t="s">
        <v>49</v>
      </c>
      <c r="K13" s="75" t="s">
        <v>50</v>
      </c>
      <c r="L13" s="75" t="s">
        <v>51</v>
      </c>
      <c r="M13" s="74" t="s">
        <v>49</v>
      </c>
      <c r="N13" s="75" t="s">
        <v>50</v>
      </c>
      <c r="O13" s="75" t="s">
        <v>51</v>
      </c>
      <c r="P13" s="442" t="s">
        <v>49</v>
      </c>
      <c r="Q13" s="443" t="s">
        <v>52</v>
      </c>
      <c r="R13" s="444" t="s">
        <v>51</v>
      </c>
      <c r="S13" s="118"/>
      <c r="T13" s="140"/>
      <c r="U13" s="74" t="s">
        <v>49</v>
      </c>
      <c r="V13" s="75" t="s">
        <v>50</v>
      </c>
      <c r="W13" s="76" t="s">
        <v>51</v>
      </c>
      <c r="X13" s="74" t="s">
        <v>49</v>
      </c>
      <c r="Y13" s="75" t="s">
        <v>50</v>
      </c>
      <c r="Z13" s="76" t="s">
        <v>51</v>
      </c>
      <c r="AA13" s="74" t="s">
        <v>49</v>
      </c>
      <c r="AB13" s="75" t="s">
        <v>50</v>
      </c>
      <c r="AC13" s="75" t="s">
        <v>51</v>
      </c>
      <c r="AD13" s="74" t="s">
        <v>49</v>
      </c>
      <c r="AE13" s="75" t="s">
        <v>50</v>
      </c>
      <c r="AF13" s="75" t="s">
        <v>51</v>
      </c>
      <c r="AG13" s="74" t="s">
        <v>49</v>
      </c>
      <c r="AH13" s="75" t="s">
        <v>50</v>
      </c>
      <c r="AI13" s="75" t="s">
        <v>51</v>
      </c>
      <c r="AJ13" s="74" t="s">
        <v>49</v>
      </c>
      <c r="AK13" s="75" t="s">
        <v>50</v>
      </c>
      <c r="AL13" s="75" t="s">
        <v>51</v>
      </c>
      <c r="AM13" s="122" t="s">
        <v>49</v>
      </c>
      <c r="AN13" s="123" t="s">
        <v>52</v>
      </c>
      <c r="AO13" s="294" t="s">
        <v>51</v>
      </c>
      <c r="AP13" s="88"/>
      <c r="AQ13" s="122" t="s">
        <v>49</v>
      </c>
      <c r="AR13" s="123" t="s">
        <v>52</v>
      </c>
      <c r="AS13" s="294" t="s">
        <v>51</v>
      </c>
    </row>
    <row r="14" spans="1:53" ht="15.75" thickBot="1" x14ac:dyDescent="0.3">
      <c r="B14" s="49">
        <v>2015</v>
      </c>
      <c r="C14" s="49">
        <f t="shared" ref="C14:C45" si="0">B14+1</f>
        <v>2016</v>
      </c>
      <c r="D14" s="87"/>
      <c r="E14" s="88"/>
      <c r="F14" s="88"/>
      <c r="G14" s="69"/>
      <c r="H14" s="70"/>
      <c r="I14" s="70"/>
      <c r="J14" s="54">
        <f>'Misc Alt Schedule @ 6.5%'!J14+'Safety Alt Schedule @ 6.5%'!J14</f>
        <v>24796022</v>
      </c>
      <c r="K14" s="88"/>
      <c r="L14" s="88"/>
      <c r="M14" s="117"/>
      <c r="N14" s="115"/>
      <c r="O14" s="116"/>
      <c r="P14" s="445" t="e">
        <f>'Misc Alt Schedule @ 7%'!Y14+#REF!</f>
        <v>#REF!</v>
      </c>
      <c r="Q14" s="417"/>
      <c r="R14" s="418"/>
      <c r="S14" s="71"/>
      <c r="T14" s="141"/>
      <c r="U14" s="40"/>
      <c r="V14" s="16"/>
      <c r="W14" s="19"/>
      <c r="X14" s="40"/>
      <c r="Y14" s="16"/>
      <c r="Z14" s="19"/>
      <c r="AA14" s="40"/>
      <c r="AB14" s="115"/>
      <c r="AC14" s="116"/>
      <c r="AD14" s="429"/>
      <c r="AE14" s="115"/>
      <c r="AF14" s="116"/>
      <c r="AG14" s="87"/>
      <c r="AH14" s="88"/>
      <c r="AI14" s="88"/>
      <c r="AJ14" s="87"/>
      <c r="AK14" s="88"/>
      <c r="AL14" s="88"/>
      <c r="AM14" s="124"/>
      <c r="AN14" s="125"/>
      <c r="AO14" s="295"/>
      <c r="AP14" s="111"/>
      <c r="AQ14" s="124"/>
      <c r="AR14" s="125"/>
      <c r="AS14" s="295"/>
    </row>
    <row r="15" spans="1:53" ht="16.5" thickTop="1" thickBot="1" x14ac:dyDescent="0.3">
      <c r="B15" s="49">
        <f>B14+1</f>
        <v>2016</v>
      </c>
      <c r="C15" s="49">
        <f t="shared" si="0"/>
        <v>2017</v>
      </c>
      <c r="D15" s="87"/>
      <c r="E15" s="75"/>
      <c r="F15" s="75"/>
      <c r="G15" s="293">
        <f>'Misc Alt Schedule @ 6.5%'!G15+'Safety Alt Schedule @ 6.5%'!G15</f>
        <v>-67321034</v>
      </c>
      <c r="H15" s="245">
        <v>30</v>
      </c>
      <c r="I15" s="58">
        <f>'Misc Alt Schedule @ 6.5%'!I15+'Safety Alt Schedule @ 6.5%'!I15</f>
        <v>-2801901.8999443729</v>
      </c>
      <c r="J15" s="57">
        <f>'Misc Alt Schedule @ 6.5%'!J15+'Safety Alt Schedule @ 6.5%'!J15</f>
        <v>26783915</v>
      </c>
      <c r="K15" s="75"/>
      <c r="L15" s="75"/>
      <c r="M15" s="57">
        <f>'Misc Alt Schedule @ 6.5%'!M15+'Safety Alt Schedule @ 6.5%'!M15</f>
        <v>39516231.207000002</v>
      </c>
      <c r="N15" s="75"/>
      <c r="O15" s="76"/>
      <c r="P15" s="446" t="e">
        <f>'Misc Alt Schedule @ 7%'!Y15+#REF!</f>
        <v>#REF!</v>
      </c>
      <c r="Q15" s="447"/>
      <c r="R15" s="448"/>
      <c r="S15" s="68"/>
      <c r="T15" s="142"/>
      <c r="U15" s="33"/>
      <c r="V15" s="12"/>
      <c r="W15" s="34"/>
      <c r="X15" s="33"/>
      <c r="Y15" s="12"/>
      <c r="Z15" s="34"/>
      <c r="AA15" s="421">
        <f>'Misc Alt Schedule @ 6.5%'!P15+'Safety Alt Schedule @ 6.5%'!P15</f>
        <v>11975187</v>
      </c>
      <c r="AB15" s="75"/>
      <c r="AC15" s="76"/>
      <c r="AD15" s="421">
        <f>'Misc Alt Schedule @ 6.5%'!S15+'Safety Alt Schedule @ 6.5%'!S15</f>
        <v>12501914</v>
      </c>
      <c r="AE15" s="75"/>
      <c r="AF15" s="76"/>
      <c r="AG15" s="421">
        <f>'Misc Alt Schedule @ 6.5%'!V15+'Safety Alt Schedule @ 6.5%'!V15</f>
        <v>26678934</v>
      </c>
      <c r="AH15" s="75"/>
      <c r="AI15" s="76"/>
      <c r="AJ15" s="421">
        <f>'Misc Alt Schedule @ 6.5%'!Y15+'Safety Alt Schedule @ 6.5%'!Y15</f>
        <v>60784806</v>
      </c>
      <c r="AK15" s="75"/>
      <c r="AL15" s="76"/>
      <c r="AM15" s="92">
        <f>'Misc Alt Schedule @ 6.5%'!AB15+'Safety Alt Schedule @ 6.5%'!AB15</f>
        <v>312494099.52600002</v>
      </c>
      <c r="AN15" s="255"/>
      <c r="AO15" s="296"/>
      <c r="AP15" s="111"/>
      <c r="AQ15" s="92"/>
      <c r="AR15" s="255"/>
      <c r="AS15" s="296"/>
    </row>
    <row r="16" spans="1:53" ht="16.5" thickTop="1" thickBot="1" x14ac:dyDescent="0.3">
      <c r="A16" s="49">
        <v>1</v>
      </c>
      <c r="B16" s="49">
        <f>B15+1</f>
        <v>2017</v>
      </c>
      <c r="C16" s="49">
        <f t="shared" si="0"/>
        <v>2018</v>
      </c>
      <c r="D16" s="293">
        <f>'Misc Alt Schedule @ 7%'!D16+'Safety Alt Schedule @ 6.5%'!D16</f>
        <v>315444727</v>
      </c>
      <c r="E16" s="245">
        <v>17</v>
      </c>
      <c r="F16" s="56">
        <f>'Misc Alt Schedule @ 6.5%'!F16+'Safety Alt Schedule @ 6.5%'!F16</f>
        <v>26500896.923967965</v>
      </c>
      <c r="G16" s="117">
        <f>'Misc Alt Schedule @ 6.5%'!G16+'Safety Alt Schedule @ 6.5%'!G16</f>
        <v>-69465037.828701288</v>
      </c>
      <c r="H16" s="71">
        <f>H15-1</f>
        <v>29</v>
      </c>
      <c r="I16" s="303">
        <f>'Misc Alt Schedule @ 6.5%'!I16+'Safety Alt Schedule @ 6.5%'!I16</f>
        <v>-5244987.4018232627</v>
      </c>
      <c r="J16" s="302">
        <f>'Misc Alt Schedule @ 6.5%'!J16+'Safety Alt Schedule @ 6.5%'!J16</f>
        <v>28921514</v>
      </c>
      <c r="K16" s="63">
        <v>20</v>
      </c>
      <c r="L16" s="56">
        <f>'Misc Alt Schedule @ 6.5%'!L16+'Safety Alt Schedule @ 6.5%'!L16</f>
        <v>2183731.2886192543</v>
      </c>
      <c r="M16" s="299">
        <f>'Misc Alt Schedule @ 6.5%'!M16+'Safety Alt Schedule @ 6.5%'!M16</f>
        <v>42084786.235454999</v>
      </c>
      <c r="N16" s="71">
        <v>20</v>
      </c>
      <c r="O16" s="303">
        <f>'Misc Alt Schedule @ 6.5%'!O16+'Safety Alt Schedule @ 6.5%'!O16</f>
        <v>2928230.2431653314</v>
      </c>
      <c r="P16" s="449" t="e">
        <f>'Misc Alt Schedule @ 7%'!Y16+#REF!</f>
        <v>#REF!</v>
      </c>
      <c r="Q16" s="450">
        <v>30</v>
      </c>
      <c r="R16" s="451">
        <f>F16+I16+L16+O16</f>
        <v>26367871.053929288</v>
      </c>
      <c r="S16" s="71"/>
      <c r="T16" s="141"/>
      <c r="U16" s="385">
        <v>315000000</v>
      </c>
      <c r="V16" s="386">
        <v>17</v>
      </c>
      <c r="W16" s="55">
        <f>-PMT(1.075-1,V16,U16*1.075^0.5,0,1)</f>
        <v>32204184.220538326</v>
      </c>
      <c r="X16" s="385">
        <f t="shared" ref="X16:X46" si="1">G16</f>
        <v>-69465037.828701288</v>
      </c>
      <c r="Y16" s="386">
        <v>29</v>
      </c>
      <c r="Z16" s="55">
        <f t="shared" ref="Z16:Z44" si="2">I16</f>
        <v>-5244987.4018232627</v>
      </c>
      <c r="AA16" s="299">
        <f>'Misc Alt Schedule @ 6.5%'!P16+'Safety Alt Schedule @ 6.5%'!P16</f>
        <v>12753574.154999999</v>
      </c>
      <c r="AB16" s="71">
        <v>20</v>
      </c>
      <c r="AC16" s="303">
        <f>'Misc Alt Schedule @ 6.5%'!R16+'Safety Alt Schedule @ 6.5%'!R16</f>
        <v>887384.84591993736</v>
      </c>
      <c r="AD16" s="299">
        <f>'Misc Alt Schedule @ 6.5%'!S16+'Safety Alt Schedule @ 6.5%'!S16</f>
        <v>13314538.41</v>
      </c>
      <c r="AE16" s="71">
        <v>20</v>
      </c>
      <c r="AF16" s="303">
        <f>'Misc Alt Schedule @ 6.5%'!U16+'Safety Alt Schedule @ 6.5%'!U16</f>
        <v>926416.34979013749</v>
      </c>
      <c r="AG16" s="299">
        <f>'Misc Alt Schedule @ 6.5%'!V16+'Safety Alt Schedule @ 6.5%'!V16</f>
        <v>28413064.710000001</v>
      </c>
      <c r="AH16" s="71">
        <v>20</v>
      </c>
      <c r="AI16" s="303">
        <f>'Misc Alt Schedule @ 6.5%'!X16+'Safety Alt Schedule @ 6.5%'!X16</f>
        <v>1976961.339885396</v>
      </c>
      <c r="AJ16" s="299">
        <f>'Misc Alt Schedule @ 6.5%'!Y16+'Safety Alt Schedule @ 6.5%'!Y16</f>
        <v>64735818.390000001</v>
      </c>
      <c r="AK16" s="71">
        <v>20</v>
      </c>
      <c r="AL16" s="303">
        <f>'Misc Alt Schedule @ 6.5%'!AA16+'Safety Alt Schedule @ 6.5%'!AA16</f>
        <v>4504273.3534418531</v>
      </c>
      <c r="AM16" s="302">
        <f>'Misc Alt Schedule @ 6.5%'!AB16+'Safety Alt Schedule @ 6.5%'!AB16</f>
        <v>436202985.07175374</v>
      </c>
      <c r="AN16" s="245">
        <v>20</v>
      </c>
      <c r="AO16" s="301">
        <f>'Misc Alt Schedule @ 6.5%'!AD16+'Safety Alt Schedule @ 6.5%'!AD16</f>
        <v>34662906.94296661</v>
      </c>
      <c r="AP16" s="111"/>
      <c r="AQ16" s="293">
        <f>'Misc Alt Schedule @ 6.5%'!AF16+'Safety Alt Schedule @ 6.5%'!AF16</f>
        <v>436202985.07175374</v>
      </c>
      <c r="AR16" s="245">
        <v>20</v>
      </c>
      <c r="AS16" s="55">
        <f>'Misc Alt Schedule @ 6.5%'!AH16+'Safety Alt Schedule @ 6.5%'!AH16</f>
        <v>41268514.759295411</v>
      </c>
      <c r="BA16" s="216">
        <v>500000</v>
      </c>
    </row>
    <row r="17" spans="1:53" ht="15.75" thickTop="1" x14ac:dyDescent="0.25">
      <c r="A17" s="49">
        <v>2</v>
      </c>
      <c r="B17" s="49">
        <f t="shared" ref="B17:B45" si="3">B16+1</f>
        <v>2018</v>
      </c>
      <c r="C17" s="49">
        <f t="shared" si="0"/>
        <v>2019</v>
      </c>
      <c r="D17" s="54">
        <f>'Misc Alt Schedule @ 7%'!D17+'Safety Alt Schedule @ 6.5%'!D17</f>
        <v>311626366.78127772</v>
      </c>
      <c r="E17" s="63">
        <f>E16-1</f>
        <v>16</v>
      </c>
      <c r="F17" s="56">
        <f>'Misc Alt Schedule @ 6.5%'!F17+'Safety Alt Schedule @ 6.5%'!F17</f>
        <v>27295923.831687007</v>
      </c>
      <c r="G17" s="54">
        <f>'Misc Alt Schedule @ 6.5%'!G17+'Safety Alt Schedule @ 6.5%'!G17</f>
        <v>-69236796.98301135</v>
      </c>
      <c r="H17" s="63">
        <f t="shared" ref="H17:H44" si="4">H16-1</f>
        <v>28</v>
      </c>
      <c r="I17" s="55">
        <f>'Misc Alt Schedule @ 6.5%'!I17+'Safety Alt Schedule @ 6.5%'!I17</f>
        <v>-5402337.0238779597</v>
      </c>
      <c r="J17" s="56">
        <f>'Misc Alt Schedule @ 6.5%'!J17+'Safety Alt Schedule @ 6.5%'!J17</f>
        <v>28826486.760106001</v>
      </c>
      <c r="K17" s="63">
        <f>K16-1</f>
        <v>19</v>
      </c>
      <c r="L17" s="56">
        <f>'Misc Alt Schedule @ 6.5%'!L17+'Safety Alt Schedule @ 6.5%'!L17</f>
        <v>2249243.2272778312</v>
      </c>
      <c r="M17" s="54">
        <f>'Misc Alt Schedule @ 6.5%'!M17+'Safety Alt Schedule @ 6.5%'!M17</f>
        <v>41798397.779193647</v>
      </c>
      <c r="N17" s="63">
        <f>N16-1</f>
        <v>19</v>
      </c>
      <c r="O17" s="55">
        <f>'Misc Alt Schedule @ 6.5%'!O17+'Safety Alt Schedule @ 6.5%'!O17</f>
        <v>3016077.1504602907</v>
      </c>
      <c r="P17" s="419">
        <f t="shared" ref="P17:P45" si="5">D17+G17+J17+M17</f>
        <v>313014454.33756602</v>
      </c>
      <c r="Q17" s="420">
        <f>Q16-1</f>
        <v>29</v>
      </c>
      <c r="R17" s="452">
        <f t="shared" ref="R17:R45" si="6">F17+I17+L17+O17</f>
        <v>27158907.185547169</v>
      </c>
      <c r="S17" s="63"/>
      <c r="T17" s="142"/>
      <c r="U17" s="54">
        <f>U16*1.075-W16*1.075^0.5</f>
        <v>305234991.12895226</v>
      </c>
      <c r="V17" s="63">
        <f>V16-1</f>
        <v>16</v>
      </c>
      <c r="W17" s="55">
        <f t="shared" ref="W17:W35" si="7">-PMT(1.075-1,V17,U17*1.075^0.5,0,1)</f>
        <v>32204184.220538322</v>
      </c>
      <c r="X17" s="54">
        <f t="shared" si="1"/>
        <v>-69236796.98301135</v>
      </c>
      <c r="Y17" s="63">
        <f>Y16-1</f>
        <v>28</v>
      </c>
      <c r="Z17" s="55">
        <f t="shared" si="2"/>
        <v>-5402337.0238779597</v>
      </c>
      <c r="AA17" s="54">
        <f>'Misc Alt Schedule @ 6.5%'!P17+'Safety Alt Schedule @ 6.5%'!P17</f>
        <v>12666785.632572195</v>
      </c>
      <c r="AB17" s="63">
        <f>AB16-1</f>
        <v>19</v>
      </c>
      <c r="AC17" s="55">
        <f>'Misc Alt Schedule @ 6.5%'!R17+'Safety Alt Schedule @ 6.5%'!R17</f>
        <v>914006.39129753527</v>
      </c>
      <c r="AD17" s="54">
        <f>'Misc Alt Schedule @ 6.5%'!S17+'Safety Alt Schedule @ 6.5%'!S17</f>
        <v>13223932.506010402</v>
      </c>
      <c r="AE17" s="63">
        <f>AE16-1</f>
        <v>19</v>
      </c>
      <c r="AF17" s="55">
        <f>'Misc Alt Schedule @ 6.5%'!U17+'Safety Alt Schedule @ 6.5%'!U17</f>
        <v>954208.84028384159</v>
      </c>
      <c r="AG17" s="54">
        <f>'Misc Alt Schedule @ 6.5%'!V17+'Safety Alt Schedule @ 6.5%'!V17</f>
        <v>28219712.801440336</v>
      </c>
      <c r="AH17" s="63">
        <f>AH16-1</f>
        <v>19</v>
      </c>
      <c r="AI17" s="55">
        <f>'Misc Alt Schedule @ 6.5%'!X17+'Safety Alt Schedule @ 6.5%'!X17</f>
        <v>2036270.180081958</v>
      </c>
      <c r="AJ17" s="54">
        <f>'Misc Alt Schedule @ 6.5%'!Y17+'Safety Alt Schedule @ 6.5%'!Y17</f>
        <v>64295288.860164627</v>
      </c>
      <c r="AK17" s="63">
        <f>AK16-1</f>
        <v>19</v>
      </c>
      <c r="AL17" s="55">
        <f>'Misc Alt Schedule @ 6.5%'!AA17+'Safety Alt Schedule @ 6.5%'!AA17</f>
        <v>4639401.5540451081</v>
      </c>
      <c r="AM17" s="56">
        <f>'Misc Alt Schedule @ 6.5%'!AB17+'Safety Alt Schedule @ 6.5%'!AB17</f>
        <v>431420174.13775355</v>
      </c>
      <c r="AN17" s="63">
        <f>AN16-1</f>
        <v>19</v>
      </c>
      <c r="AO17" s="297">
        <f>'Misc Alt Schedule @ 6.5%'!AD17+'Safety Alt Schedule @ 6.5%'!AD17</f>
        <v>35702794.151255608</v>
      </c>
      <c r="AP17" s="111"/>
      <c r="AQ17" s="54">
        <f>'Misc Alt Schedule @ 6.5%'!AF17+'Safety Alt Schedule @ 6.5%'!AF17</f>
        <v>425609732.46065974</v>
      </c>
      <c r="AR17" s="63">
        <f>AR16-1</f>
        <v>19</v>
      </c>
      <c r="AS17" s="55">
        <f>'Misc Alt Schedule @ 6.5%'!AH17+'Safety Alt Schedule @ 6.5%'!AH17</f>
        <v>40864206.24748005</v>
      </c>
      <c r="BA17" s="216">
        <v>500000</v>
      </c>
    </row>
    <row r="18" spans="1:53" x14ac:dyDescent="0.25">
      <c r="A18" s="49">
        <v>3</v>
      </c>
      <c r="B18" s="49">
        <f t="shared" si="3"/>
        <v>2019</v>
      </c>
      <c r="C18" s="49">
        <f t="shared" si="0"/>
        <v>2020</v>
      </c>
      <c r="D18" s="54">
        <f>'Misc Alt Schedule @ 7%'!D18+'Safety Alt Schedule @ 6.5%'!D18</f>
        <v>306697328.10383964</v>
      </c>
      <c r="E18" s="63">
        <f t="shared" ref="E18:E32" si="8">E17-1</f>
        <v>15</v>
      </c>
      <c r="F18" s="56">
        <f>'Misc Alt Schedule @ 6.5%'!F18+'Safety Alt Schedule @ 6.5%'!F18</f>
        <v>28114801.546637617</v>
      </c>
      <c r="G18" s="54">
        <f>'Misc Alt Schedule @ 6.5%'!G18+'Safety Alt Schedule @ 6.5%'!G18</f>
        <v>-68828294.513409391</v>
      </c>
      <c r="H18" s="63">
        <f t="shared" si="4"/>
        <v>27</v>
      </c>
      <c r="I18" s="55">
        <f>'Misc Alt Schedule @ 6.5%'!I18+'Safety Alt Schedule @ 6.5%'!I18</f>
        <v>-5564407.1345942989</v>
      </c>
      <c r="J18" s="56">
        <f>'Misc Alt Schedule @ 6.5%'!J18+'Safety Alt Schedule @ 6.5%'!J18</f>
        <v>28656408.253523134</v>
      </c>
      <c r="K18" s="63">
        <f t="shared" ref="K18:K35" si="9">K17-1</f>
        <v>18</v>
      </c>
      <c r="L18" s="56">
        <f>'Misc Alt Schedule @ 6.5%'!L18+'Safety Alt Schedule @ 6.5%'!L18</f>
        <v>2316720.5240961667</v>
      </c>
      <c r="M18" s="54">
        <f>'Misc Alt Schedule @ 6.5%'!M18+'Safety Alt Schedule @ 6.5%'!M18</f>
        <v>41402737.086428329</v>
      </c>
      <c r="N18" s="63">
        <f t="shared" ref="N18:N35" si="10">N17-1</f>
        <v>18</v>
      </c>
      <c r="O18" s="55">
        <f>'Misc Alt Schedule @ 6.5%'!O18+'Safety Alt Schedule @ 6.5%'!O18</f>
        <v>3106559.4649740998</v>
      </c>
      <c r="P18" s="419">
        <f t="shared" si="5"/>
        <v>307928178.93038172</v>
      </c>
      <c r="Q18" s="420">
        <f t="shared" ref="Q18:Q45" si="11">Q17-1</f>
        <v>28</v>
      </c>
      <c r="R18" s="452">
        <f t="shared" si="6"/>
        <v>27973674.401113585</v>
      </c>
      <c r="S18" s="63"/>
      <c r="T18" s="142"/>
      <c r="U18" s="54">
        <f t="shared" ref="U18:U36" si="12">U17*1.075-W17*1.075^0.5</f>
        <v>294737606.59257591</v>
      </c>
      <c r="V18" s="63">
        <f t="shared" ref="V18:V36" si="13">V17-1</f>
        <v>15</v>
      </c>
      <c r="W18" s="55">
        <f t="shared" si="7"/>
        <v>32204184.220538322</v>
      </c>
      <c r="X18" s="54">
        <f t="shared" si="1"/>
        <v>-68828294.513409391</v>
      </c>
      <c r="Y18" s="63">
        <f t="shared" ref="Y18:Y44" si="14">Y17-1</f>
        <v>27</v>
      </c>
      <c r="Z18" s="55">
        <f t="shared" si="2"/>
        <v>-5564407.1345942989</v>
      </c>
      <c r="AA18" s="54">
        <f>'Misc Alt Schedule @ 6.5%'!P18+'Safety Alt Schedule @ 6.5%'!P18</f>
        <v>12546882.730911501</v>
      </c>
      <c r="AB18" s="63">
        <f t="shared" ref="AB18:AB35" si="15">AB17-1</f>
        <v>18</v>
      </c>
      <c r="AC18" s="55">
        <f>'Misc Alt Schedule @ 6.5%'!R18+'Safety Alt Schedule @ 6.5%'!R18</f>
        <v>941426.58303646138</v>
      </c>
      <c r="AD18" s="54">
        <f>'Misc Alt Schedule @ 6.5%'!S18+'Safety Alt Schedule @ 6.5%'!S18</f>
        <v>13098755.691242293</v>
      </c>
      <c r="AE18" s="63">
        <f t="shared" ref="AE18:AE35" si="16">AE17-1</f>
        <v>18</v>
      </c>
      <c r="AF18" s="55">
        <f>'Misc Alt Schedule @ 6.5%'!U18+'Safety Alt Schedule @ 6.5%'!U18</f>
        <v>982835.10549235682</v>
      </c>
      <c r="AG18" s="54">
        <f>'Misc Alt Schedule @ 6.5%'!V18+'Safety Alt Schedule @ 6.5%'!V18</f>
        <v>27952586.985382996</v>
      </c>
      <c r="AH18" s="63">
        <f t="shared" ref="AH18:AH35" si="17">AH17-1</f>
        <v>18</v>
      </c>
      <c r="AI18" s="55">
        <f>'Misc Alt Schedule @ 6.5%'!X18+'Safety Alt Schedule @ 6.5%'!X18</f>
        <v>2097358.2854844164</v>
      </c>
      <c r="AJ18" s="54">
        <f>'Misc Alt Schedule @ 6.5%'!Y18+'Safety Alt Schedule @ 6.5%'!Y18</f>
        <v>63686674.179134391</v>
      </c>
      <c r="AK18" s="63">
        <f t="shared" ref="AK18:AK35" si="18">AK17-1</f>
        <v>18</v>
      </c>
      <c r="AL18" s="55">
        <f>'Misc Alt Schedule @ 6.5%'!AA18+'Safety Alt Schedule @ 6.5%'!AA18</f>
        <v>4778583.6006664624</v>
      </c>
      <c r="AM18" s="56">
        <f>'Misc Alt Schedule @ 6.5%'!AB18+'Safety Alt Schedule @ 6.5%'!AB18</f>
        <v>425213078.51705289</v>
      </c>
      <c r="AN18" s="63">
        <f t="shared" ref="AN18:AN45" si="19">AN17-1</f>
        <v>18</v>
      </c>
      <c r="AO18" s="297">
        <f>'Misc Alt Schedule @ 6.5%'!AD18+'Safety Alt Schedule @ 6.5%'!AD18</f>
        <v>36773877.97579328</v>
      </c>
      <c r="AP18" s="111"/>
      <c r="AQ18" s="54">
        <f>'Misc Alt Schedule @ 6.5%'!AF18+'Safety Alt Schedule @ 6.5%'!AF18</f>
        <v>414146822.10084558</v>
      </c>
      <c r="AR18" s="63">
        <f t="shared" ref="AR18:AR35" si="20">AR17-1</f>
        <v>18</v>
      </c>
      <c r="AS18" s="55">
        <f>'Misc Alt Schedule @ 6.5%'!AH18+'Safety Alt Schedule @ 6.5%'!AH18</f>
        <v>40475710.418130726</v>
      </c>
      <c r="BA18" s="216">
        <v>500000</v>
      </c>
    </row>
    <row r="19" spans="1:53" x14ac:dyDescent="0.25">
      <c r="A19" s="49">
        <v>4</v>
      </c>
      <c r="B19" s="49">
        <f t="shared" si="3"/>
        <v>2020</v>
      </c>
      <c r="C19" s="49">
        <f t="shared" si="0"/>
        <v>2021</v>
      </c>
      <c r="D19" s="54">
        <f>'Misc Alt Schedule @ 7%'!D19+'Safety Alt Schedule @ 6.5%'!D19</f>
        <v>300549581.04001272</v>
      </c>
      <c r="E19" s="63">
        <f t="shared" si="8"/>
        <v>14</v>
      </c>
      <c r="F19" s="56">
        <f>'Misc Alt Schedule @ 6.5%'!F19+'Safety Alt Schedule @ 6.5%'!F19</f>
        <v>28958245.593036745</v>
      </c>
      <c r="G19" s="54">
        <f>'Misc Alt Schedule @ 6.5%'!G19+'Safety Alt Schedule @ 6.5%'!G19</f>
        <v>-68221116.49128744</v>
      </c>
      <c r="H19" s="63">
        <f t="shared" si="4"/>
        <v>26</v>
      </c>
      <c r="I19" s="55">
        <f>'Misc Alt Schedule @ 6.5%'!I19+'Safety Alt Schedule @ 6.5%'!I19</f>
        <v>-5731339.348632128</v>
      </c>
      <c r="J19" s="56">
        <f>'Misc Alt Schedule @ 6.5%'!J19+'Safety Alt Schedule @ 6.5%'!J19</f>
        <v>28403611.908538826</v>
      </c>
      <c r="K19" s="63">
        <f t="shared" si="9"/>
        <v>17</v>
      </c>
      <c r="L19" s="56">
        <f>'Misc Alt Schedule @ 6.5%'!L19+'Safety Alt Schedule @ 6.5%'!L19</f>
        <v>2386222.1398190511</v>
      </c>
      <c r="M19" s="54">
        <f>'Misc Alt Schedule @ 6.5%'!M19+'Safety Alt Schedule @ 6.5%'!M19</f>
        <v>40887981.752180874</v>
      </c>
      <c r="N19" s="63">
        <f t="shared" si="10"/>
        <v>17</v>
      </c>
      <c r="O19" s="55">
        <f>'Misc Alt Schedule @ 6.5%'!O19+'Safety Alt Schedule @ 6.5%'!O19</f>
        <v>3199756.2489233213</v>
      </c>
      <c r="P19" s="419">
        <f t="shared" si="5"/>
        <v>301620058.209445</v>
      </c>
      <c r="Q19" s="420">
        <f t="shared" si="11"/>
        <v>27</v>
      </c>
      <c r="R19" s="452">
        <f t="shared" si="6"/>
        <v>28812884.63314699</v>
      </c>
      <c r="S19" s="63"/>
      <c r="T19" s="142"/>
      <c r="U19" s="54">
        <f t="shared" si="12"/>
        <v>283452918.21597135</v>
      </c>
      <c r="V19" s="63">
        <f t="shared" si="13"/>
        <v>14</v>
      </c>
      <c r="W19" s="55">
        <f t="shared" si="7"/>
        <v>32204184.220538329</v>
      </c>
      <c r="X19" s="54">
        <f t="shared" si="1"/>
        <v>-68221116.49128744</v>
      </c>
      <c r="Y19" s="63">
        <f t="shared" si="14"/>
        <v>26</v>
      </c>
      <c r="Z19" s="55">
        <f t="shared" si="2"/>
        <v>-5731339.348632128</v>
      </c>
      <c r="AA19" s="54">
        <f>'Misc Alt Schedule @ 6.5%'!P19+'Safety Alt Schedule @ 6.5%'!P19</f>
        <v>12390888.821609523</v>
      </c>
      <c r="AB19" s="63">
        <f t="shared" si="15"/>
        <v>17</v>
      </c>
      <c r="AC19" s="55">
        <f>'Misc Alt Schedule @ 6.5%'!R19+'Safety Alt Schedule @ 6.5%'!R19</f>
        <v>969669.38052755524</v>
      </c>
      <c r="AD19" s="54">
        <f>'Misc Alt Schedule @ 6.5%'!S19+'Safety Alt Schedule @ 6.5%'!S19</f>
        <v>12935900.410684494</v>
      </c>
      <c r="AE19" s="63">
        <f t="shared" si="16"/>
        <v>17</v>
      </c>
      <c r="AF19" s="55">
        <f>'Misc Alt Schedule @ 6.5%'!U19+'Safety Alt Schedule @ 6.5%'!U19</f>
        <v>1012320.1586571274</v>
      </c>
      <c r="AG19" s="54">
        <f>'Misc Alt Schedule @ 6.5%'!V19+'Safety Alt Schedule @ 6.5%'!V19</f>
        <v>27605055.776837409</v>
      </c>
      <c r="AH19" s="63">
        <f t="shared" si="17"/>
        <v>17</v>
      </c>
      <c r="AI19" s="55">
        <f>'Misc Alt Schedule @ 6.5%'!X19+'Safety Alt Schedule @ 6.5%'!X19</f>
        <v>2160279.0340489489</v>
      </c>
      <c r="AJ19" s="54">
        <f>'Misc Alt Schedule @ 6.5%'!Y19+'Safety Alt Schedule @ 6.5%'!Y19</f>
        <v>62894865.290128961</v>
      </c>
      <c r="AK19" s="63">
        <f t="shared" si="18"/>
        <v>17</v>
      </c>
      <c r="AL19" s="55">
        <f>'Misc Alt Schedule @ 6.5%'!AA19+'Safety Alt Schedule @ 6.5%'!AA19</f>
        <v>4921941.1086864546</v>
      </c>
      <c r="AM19" s="56">
        <f>'Misc Alt Schedule @ 6.5%'!AB19+'Safety Alt Schedule @ 6.5%'!AB19</f>
        <v>417446768.50870538</v>
      </c>
      <c r="AN19" s="63">
        <f t="shared" si="19"/>
        <v>17</v>
      </c>
      <c r="AO19" s="297">
        <f>'Misc Alt Schedule @ 6.5%'!AD19+'Safety Alt Schedule @ 6.5%'!AD19</f>
        <v>37877094.315067075</v>
      </c>
      <c r="AP19" s="111"/>
      <c r="AQ19" s="54">
        <f>'Misc Alt Schedule @ 6.5%'!AF19+'Safety Alt Schedule @ 6.5%'!AF19</f>
        <v>401268699.23396444</v>
      </c>
      <c r="AR19" s="63">
        <f t="shared" si="20"/>
        <v>17</v>
      </c>
      <c r="AS19" s="55">
        <f>'Misc Alt Schedule @ 6.5%'!AH19+'Safety Alt Schedule @ 6.5%'!AH19</f>
        <v>39732892.890472569</v>
      </c>
      <c r="BA19" s="216">
        <v>500000</v>
      </c>
    </row>
    <row r="20" spans="1:53" x14ac:dyDescent="0.25">
      <c r="A20" s="49">
        <v>5</v>
      </c>
      <c r="B20" s="49">
        <f t="shared" si="3"/>
        <v>2021</v>
      </c>
      <c r="C20" s="49">
        <f t="shared" si="0"/>
        <v>2022</v>
      </c>
      <c r="D20" s="54">
        <f>'Misc Alt Schedule @ 7%'!D20+'Safety Alt Schedule @ 6.5%'!D20</f>
        <v>293066251.54625028</v>
      </c>
      <c r="E20" s="63">
        <f t="shared" si="8"/>
        <v>13</v>
      </c>
      <c r="F20" s="56">
        <f>'Misc Alt Schedule @ 6.5%'!F20+'Safety Alt Schedule @ 6.5%'!F20</f>
        <v>29826992.960827854</v>
      </c>
      <c r="G20" s="54">
        <f>'Misc Alt Schedule @ 6.5%'!G20+'Safety Alt Schedule @ 6.5%'!G20</f>
        <v>-67395321.114187509</v>
      </c>
      <c r="H20" s="63">
        <f t="shared" si="4"/>
        <v>25</v>
      </c>
      <c r="I20" s="55">
        <f>'Misc Alt Schedule @ 6.5%'!I20+'Safety Alt Schedule @ 6.5%'!I20</f>
        <v>-5903279.5290910937</v>
      </c>
      <c r="J20" s="56">
        <f>'Misc Alt Schedule @ 6.5%'!J20+'Safety Alt Schedule @ 6.5%'!J20</f>
        <v>28059795.028760746</v>
      </c>
      <c r="K20" s="63">
        <f t="shared" si="9"/>
        <v>16</v>
      </c>
      <c r="L20" s="56">
        <f>'Misc Alt Schedule @ 6.5%'!L20+'Safety Alt Schedule @ 6.5%'!L20</f>
        <v>2457808.8040136239</v>
      </c>
      <c r="M20" s="54">
        <f>'Misc Alt Schedule @ 6.5%'!M20+'Safety Alt Schedule @ 6.5%'!M20</f>
        <v>40243589.32386139</v>
      </c>
      <c r="N20" s="63">
        <f t="shared" si="10"/>
        <v>16</v>
      </c>
      <c r="O20" s="55">
        <f>'Misc Alt Schedule @ 6.5%'!O20+'Safety Alt Schedule @ 6.5%'!O20</f>
        <v>3295748.9363910211</v>
      </c>
      <c r="P20" s="419">
        <f t="shared" si="5"/>
        <v>293974314.7846849</v>
      </c>
      <c r="Q20" s="420">
        <f t="shared" si="11"/>
        <v>26</v>
      </c>
      <c r="R20" s="452">
        <f t="shared" si="6"/>
        <v>29677271.172141407</v>
      </c>
      <c r="S20" s="63"/>
      <c r="T20" s="142"/>
      <c r="U20" s="54">
        <f t="shared" si="12"/>
        <v>271321878.21112144</v>
      </c>
      <c r="V20" s="63">
        <f t="shared" si="13"/>
        <v>13</v>
      </c>
      <c r="W20" s="55">
        <f t="shared" si="7"/>
        <v>32204184.220538322</v>
      </c>
      <c r="X20" s="54">
        <f t="shared" si="1"/>
        <v>-67395321.114187509</v>
      </c>
      <c r="Y20" s="63">
        <f t="shared" si="14"/>
        <v>25</v>
      </c>
      <c r="Z20" s="55">
        <f t="shared" si="2"/>
        <v>-5903279.5290910937</v>
      </c>
      <c r="AA20" s="54">
        <f>'Misc Alt Schedule @ 6.5%'!P20+'Safety Alt Schedule @ 6.5%'!P20</f>
        <v>12195609.069598582</v>
      </c>
      <c r="AB20" s="63">
        <f t="shared" si="15"/>
        <v>16</v>
      </c>
      <c r="AC20" s="55">
        <f>'Misc Alt Schedule @ 6.5%'!R20+'Safety Alt Schedule @ 6.5%'!R20</f>
        <v>998759.46194338158</v>
      </c>
      <c r="AD20" s="54">
        <f>'Misc Alt Schedule @ 6.5%'!S20+'Safety Alt Schedule @ 6.5%'!S20</f>
        <v>12732031.30487578</v>
      </c>
      <c r="AE20" s="63">
        <f t="shared" si="16"/>
        <v>16</v>
      </c>
      <c r="AF20" s="55">
        <f>'Misc Alt Schedule @ 6.5%'!U20+'Safety Alt Schedule @ 6.5%'!U20</f>
        <v>1042689.763416841</v>
      </c>
      <c r="AG20" s="54">
        <f>'Misc Alt Schedule @ 6.5%'!V20+'Safety Alt Schedule @ 6.5%'!V20</f>
        <v>27170001.558858491</v>
      </c>
      <c r="AH20" s="63">
        <f t="shared" si="17"/>
        <v>16</v>
      </c>
      <c r="AI20" s="55">
        <f>'Misc Alt Schedule @ 6.5%'!X20+'Safety Alt Schedule @ 6.5%'!X20</f>
        <v>2225087.4050704171</v>
      </c>
      <c r="AJ20" s="54">
        <f>'Misc Alt Schedule @ 6.5%'!Y20+'Safety Alt Schedule @ 6.5%'!Y20</f>
        <v>61903645.542018704</v>
      </c>
      <c r="AK20" s="63">
        <f t="shared" si="18"/>
        <v>16</v>
      </c>
      <c r="AL20" s="55">
        <f>'Misc Alt Schedule @ 6.5%'!AA20+'Safety Alt Schedule @ 6.5%'!AA20</f>
        <v>5069599.341947047</v>
      </c>
      <c r="AM20" s="56">
        <f>'Misc Alt Schedule @ 6.5%'!AB20+'Safety Alt Schedule @ 6.5%'!AB20</f>
        <v>407975602.26003647</v>
      </c>
      <c r="AN20" s="63">
        <f t="shared" si="19"/>
        <v>16</v>
      </c>
      <c r="AO20" s="297">
        <f>'Misc Alt Schedule @ 6.5%'!AD20+'Safety Alt Schedule @ 6.5%'!AD20</f>
        <v>39013407.144519091</v>
      </c>
      <c r="AP20" s="111"/>
      <c r="AQ20" s="54">
        <f>'Misc Alt Schedule @ 6.5%'!AF20+'Safety Alt Schedule @ 6.5%'!AF20</f>
        <v>388257484.19169974</v>
      </c>
      <c r="AR20" s="63">
        <f t="shared" si="20"/>
        <v>16</v>
      </c>
      <c r="AS20" s="55">
        <f>'Misc Alt Schedule @ 6.5%'!AH20+'Safety Alt Schedule @ 6.5%'!AH20</f>
        <v>39732892.890472569</v>
      </c>
      <c r="BA20" s="216">
        <v>500000</v>
      </c>
    </row>
    <row r="21" spans="1:53" x14ac:dyDescent="0.25">
      <c r="A21" s="49">
        <v>6</v>
      </c>
      <c r="B21" s="49">
        <f t="shared" si="3"/>
        <v>2022</v>
      </c>
      <c r="C21" s="49">
        <f t="shared" si="0"/>
        <v>2023</v>
      </c>
      <c r="D21" s="54">
        <f>'Misc Alt Schedule @ 7%'!D21+'Safety Alt Schedule @ 6.5%'!D21</f>
        <v>284120935.89830279</v>
      </c>
      <c r="E21" s="63">
        <f t="shared" si="8"/>
        <v>12</v>
      </c>
      <c r="F21" s="56">
        <f>'Misc Alt Schedule @ 6.5%'!F21+'Safety Alt Schedule @ 6.5%'!F21</f>
        <v>30721802.74965268</v>
      </c>
      <c r="G21" s="54">
        <f>'Misc Alt Schedule @ 6.5%'!G21+'Safety Alt Schedule @ 6.5%'!G21</f>
        <v>-66329319.710386708</v>
      </c>
      <c r="H21" s="63">
        <f t="shared" si="4"/>
        <v>24</v>
      </c>
      <c r="I21" s="55">
        <f>'Misc Alt Schedule @ 6.5%'!I21+'Safety Alt Schedule @ 6.5%'!I21</f>
        <v>-6080377.9149638256</v>
      </c>
      <c r="J21" s="56">
        <f>'Misc Alt Schedule @ 6.5%'!J21+'Safety Alt Schedule @ 6.5%'!J21</f>
        <v>27615969.249811746</v>
      </c>
      <c r="K21" s="63">
        <f t="shared" si="9"/>
        <v>15</v>
      </c>
      <c r="L21" s="56">
        <f>'Misc Alt Schedule @ 6.5%'!L21+'Safety Alt Schedule @ 6.5%'!L21</f>
        <v>2531543.0681340322</v>
      </c>
      <c r="M21" s="54">
        <f>'Misc Alt Schedule @ 6.5%'!M21+'Safety Alt Schedule @ 6.5%'!M21</f>
        <v>39458248.050434791</v>
      </c>
      <c r="N21" s="63">
        <f t="shared" si="10"/>
        <v>15</v>
      </c>
      <c r="O21" s="55">
        <f>'Misc Alt Schedule @ 6.5%'!O21+'Safety Alt Schedule @ 6.5%'!O21</f>
        <v>3394621.4044827512</v>
      </c>
      <c r="P21" s="419">
        <f t="shared" si="5"/>
        <v>284865833.48816264</v>
      </c>
      <c r="Q21" s="420">
        <f t="shared" si="11"/>
        <v>25</v>
      </c>
      <c r="R21" s="452">
        <f t="shared" si="6"/>
        <v>30567589.307305638</v>
      </c>
      <c r="S21" s="63"/>
      <c r="T21" s="142"/>
      <c r="U21" s="54">
        <f t="shared" si="12"/>
        <v>258281010.20590782</v>
      </c>
      <c r="V21" s="63">
        <f t="shared" si="13"/>
        <v>12</v>
      </c>
      <c r="W21" s="55">
        <f t="shared" si="7"/>
        <v>32204184.220538337</v>
      </c>
      <c r="X21" s="54">
        <f t="shared" si="1"/>
        <v>-66329319.710386708</v>
      </c>
      <c r="Y21" s="63">
        <f t="shared" si="14"/>
        <v>24</v>
      </c>
      <c r="Z21" s="55">
        <f t="shared" si="2"/>
        <v>-6080377.9149638256</v>
      </c>
      <c r="AA21" s="54">
        <f>'Misc Alt Schedule @ 6.5%'!P21+'Safety Alt Schedule @ 6.5%'!P21</f>
        <v>11957615.507944463</v>
      </c>
      <c r="AB21" s="63">
        <f t="shared" si="15"/>
        <v>15</v>
      </c>
      <c r="AC21" s="55">
        <f>'Misc Alt Schedule @ 6.5%'!R21+'Safety Alt Schedule @ 6.5%'!R21</f>
        <v>1028722.245801683</v>
      </c>
      <c r="AD21" s="54">
        <f>'Misc Alt Schedule @ 6.5%'!S21+'Safety Alt Schedule @ 6.5%'!S21</f>
        <v>12483569.628214406</v>
      </c>
      <c r="AE21" s="63">
        <f t="shared" si="16"/>
        <v>15</v>
      </c>
      <c r="AF21" s="55">
        <f>'Misc Alt Schedule @ 6.5%'!U21+'Safety Alt Schedule @ 6.5%'!U21</f>
        <v>1073970.4563193461</v>
      </c>
      <c r="AG21" s="54">
        <f>'Misc Alt Schedule @ 6.5%'!V21+'Safety Alt Schedule @ 6.5%'!V21</f>
        <v>26639787.33140675</v>
      </c>
      <c r="AH21" s="63">
        <f t="shared" si="17"/>
        <v>15</v>
      </c>
      <c r="AI21" s="55">
        <f>'Misc Alt Schedule @ 6.5%'!X21+'Safety Alt Schedule @ 6.5%'!X21</f>
        <v>2291840.0272225291</v>
      </c>
      <c r="AJ21" s="54">
        <f>'Misc Alt Schedule @ 6.5%'!Y21+'Safety Alt Schedule @ 6.5%'!Y21</f>
        <v>60695614.930522226</v>
      </c>
      <c r="AK21" s="63">
        <f t="shared" si="18"/>
        <v>15</v>
      </c>
      <c r="AL21" s="55">
        <f>'Misc Alt Schedule @ 6.5%'!AA21+'Safety Alt Schedule @ 6.5%'!AA21</f>
        <v>5221687.3222054578</v>
      </c>
      <c r="AM21" s="56">
        <f>'Misc Alt Schedule @ 6.5%'!AB21+'Safety Alt Schedule @ 6.5%'!AB21</f>
        <v>396642420.88625044</v>
      </c>
      <c r="AN21" s="63">
        <f t="shared" si="19"/>
        <v>15</v>
      </c>
      <c r="AO21" s="297">
        <f>'Misc Alt Schedule @ 6.5%'!AD21+'Safety Alt Schedule @ 6.5%'!AD21</f>
        <v>40183809.358854651</v>
      </c>
      <c r="AP21" s="111"/>
      <c r="AQ21" s="54">
        <f>'Misc Alt Schedule @ 6.5%'!AF21+'Safety Alt Schedule @ 6.5%'!AF21</f>
        <v>374335484.0964765</v>
      </c>
      <c r="AR21" s="63">
        <f t="shared" si="20"/>
        <v>15</v>
      </c>
      <c r="AS21" s="55">
        <f>'Misc Alt Schedule @ 6.5%'!AH21+'Safety Alt Schedule @ 6.5%'!AH21</f>
        <v>39732892.890472576</v>
      </c>
      <c r="BA21" s="216">
        <v>500000</v>
      </c>
    </row>
    <row r="22" spans="1:53" x14ac:dyDescent="0.25">
      <c r="A22" s="49">
        <v>7</v>
      </c>
      <c r="B22" s="49">
        <f t="shared" si="3"/>
        <v>2023</v>
      </c>
      <c r="C22" s="49">
        <f t="shared" si="0"/>
        <v>2024</v>
      </c>
      <c r="D22" s="54">
        <f>'Misc Alt Schedule @ 7%'!D22+'Safety Alt Schedule @ 6.5%'!D22</f>
        <v>273576963.04134172</v>
      </c>
      <c r="E22" s="63">
        <f t="shared" si="8"/>
        <v>11</v>
      </c>
      <c r="F22" s="56">
        <f>'Misc Alt Schedule @ 6.5%'!F22+'Safety Alt Schedule @ 6.5%'!F22</f>
        <v>31643456.832142264</v>
      </c>
      <c r="G22" s="54">
        <f>'Misc Alt Schedule @ 6.5%'!G22+'Safety Alt Schedule @ 6.5%'!G22</f>
        <v>-64999748.686679885</v>
      </c>
      <c r="H22" s="63">
        <f t="shared" si="4"/>
        <v>23</v>
      </c>
      <c r="I22" s="55">
        <f>'Misc Alt Schedule @ 6.5%'!I22+'Safety Alt Schedule @ 6.5%'!I22</f>
        <v>-6262789.2524127401</v>
      </c>
      <c r="J22" s="56">
        <f>'Misc Alt Schedule @ 6.5%'!J22+'Safety Alt Schedule @ 6.5%'!J22</f>
        <v>27062407.225258388</v>
      </c>
      <c r="K22" s="63">
        <f t="shared" si="9"/>
        <v>14</v>
      </c>
      <c r="L22" s="56">
        <f>'Misc Alt Schedule @ 6.5%'!L22+'Safety Alt Schedule @ 6.5%'!L22</f>
        <v>2607489.3601780529</v>
      </c>
      <c r="M22" s="54">
        <f>'Misc Alt Schedule @ 6.5%'!M22+'Safety Alt Schedule @ 6.5%'!M22</f>
        <v>38519824.356851146</v>
      </c>
      <c r="N22" s="63">
        <f t="shared" si="10"/>
        <v>14</v>
      </c>
      <c r="O22" s="55">
        <f>'Misc Alt Schedule @ 6.5%'!O22+'Safety Alt Schedule @ 6.5%'!O22</f>
        <v>3496460.0466172341</v>
      </c>
      <c r="P22" s="419">
        <f t="shared" si="5"/>
        <v>274159445.93677133</v>
      </c>
      <c r="Q22" s="420">
        <f t="shared" si="11"/>
        <v>24</v>
      </c>
      <c r="R22" s="452">
        <f t="shared" si="6"/>
        <v>31484616.986524813</v>
      </c>
      <c r="S22" s="63"/>
      <c r="T22" s="142"/>
      <c r="U22" s="54">
        <f t="shared" si="12"/>
        <v>244262077.10030314</v>
      </c>
      <c r="V22" s="63">
        <f t="shared" si="13"/>
        <v>11</v>
      </c>
      <c r="W22" s="55">
        <f t="shared" si="7"/>
        <v>32204184.220538326</v>
      </c>
      <c r="X22" s="54">
        <f t="shared" si="1"/>
        <v>-64999748.686679885</v>
      </c>
      <c r="Y22" s="63">
        <f t="shared" si="14"/>
        <v>23</v>
      </c>
      <c r="Z22" s="55">
        <f t="shared" si="2"/>
        <v>-6262789.2524127401</v>
      </c>
      <c r="AA22" s="54">
        <f>'Misc Alt Schedule @ 6.5%'!P22+'Safety Alt Schedule @ 6.5%'!P22</f>
        <v>11673231.120247485</v>
      </c>
      <c r="AB22" s="63">
        <f t="shared" si="15"/>
        <v>14</v>
      </c>
      <c r="AC22" s="55">
        <f>'Misc Alt Schedule @ 6.5%'!R22+'Safety Alt Schedule @ 6.5%'!R22</f>
        <v>1059583.9131757338</v>
      </c>
      <c r="AD22" s="54">
        <f>'Misc Alt Schedule @ 6.5%'!S22+'Safety Alt Schedule @ 6.5%'!S22</f>
        <v>12186676.631225692</v>
      </c>
      <c r="AE22" s="63">
        <f t="shared" si="16"/>
        <v>14</v>
      </c>
      <c r="AF22" s="55">
        <f>'Misc Alt Schedule @ 6.5%'!U22+'Safety Alt Schedule @ 6.5%'!U22</f>
        <v>1106189.5700089266</v>
      </c>
      <c r="AG22" s="54">
        <f>'Misc Alt Schedule @ 6.5%'!V22+'Safety Alt Schedule @ 6.5%'!V22</f>
        <v>26006221.249307312</v>
      </c>
      <c r="AH22" s="63">
        <f t="shared" si="17"/>
        <v>14</v>
      </c>
      <c r="AI22" s="55">
        <f>'Misc Alt Schedule @ 6.5%'!X22+'Safety Alt Schedule @ 6.5%'!X22</f>
        <v>2360595.2280392051</v>
      </c>
      <c r="AJ22" s="54">
        <f>'Misc Alt Schedule @ 6.5%'!Y22+'Safety Alt Schedule @ 6.5%'!Y22</f>
        <v>59252109.302126646</v>
      </c>
      <c r="AK22" s="63">
        <f t="shared" si="18"/>
        <v>14</v>
      </c>
      <c r="AL22" s="55">
        <f>'Misc Alt Schedule @ 6.5%'!AA22+'Safety Alt Schedule @ 6.5%'!AA22</f>
        <v>5378337.9418716235</v>
      </c>
      <c r="AM22" s="56">
        <f>'Misc Alt Schedule @ 6.5%'!AB22+'Safety Alt Schedule @ 6.5%'!AB22</f>
        <v>383277684.2396785</v>
      </c>
      <c r="AN22" s="63">
        <f t="shared" si="19"/>
        <v>14</v>
      </c>
      <c r="AO22" s="297">
        <f>'Misc Alt Schedule @ 6.5%'!AD22+'Safety Alt Schedule @ 6.5%'!AD22</f>
        <v>41389323.639620304</v>
      </c>
      <c r="AP22" s="111"/>
      <c r="AQ22" s="54">
        <f>'Misc Alt Schedule @ 6.5%'!AF22+'Safety Alt Schedule @ 6.5%'!AF22</f>
        <v>359438943.9945876</v>
      </c>
      <c r="AR22" s="63">
        <f t="shared" si="20"/>
        <v>14</v>
      </c>
      <c r="AS22" s="55">
        <f>'Misc Alt Schedule @ 6.5%'!AH22+'Safety Alt Schedule @ 6.5%'!AH22</f>
        <v>39732892.890472561</v>
      </c>
      <c r="BA22" s="216">
        <v>500000</v>
      </c>
    </row>
    <row r="23" spans="1:53" x14ac:dyDescent="0.25">
      <c r="A23" s="49">
        <v>8</v>
      </c>
      <c r="B23" s="49">
        <f t="shared" si="3"/>
        <v>2024</v>
      </c>
      <c r="C23" s="49">
        <f t="shared" si="0"/>
        <v>2025</v>
      </c>
      <c r="D23" s="54">
        <f>'Misc Alt Schedule @ 7%'!D23+'Safety Alt Schedule @ 6.5%'!D23</f>
        <v>261286600.92862859</v>
      </c>
      <c r="E23" s="63">
        <f t="shared" si="8"/>
        <v>10</v>
      </c>
      <c r="F23" s="56">
        <f>'Misc Alt Schedule @ 6.5%'!F23+'Safety Alt Schedule @ 6.5%'!F23</f>
        <v>32592760.537106536</v>
      </c>
      <c r="G23" s="54">
        <f>'Misc Alt Schedule @ 6.5%'!G23+'Safety Alt Schedule @ 6.5%'!G23</f>
        <v>-63381331.736135468</v>
      </c>
      <c r="H23" s="63">
        <f t="shared" si="4"/>
        <v>22</v>
      </c>
      <c r="I23" s="55">
        <f>'Misc Alt Schedule @ 6.5%'!I23+'Safety Alt Schedule @ 6.5%'!I23</f>
        <v>-6450672.9299851228</v>
      </c>
      <c r="J23" s="56">
        <f>'Misc Alt Schedule @ 6.5%'!J23+'Safety Alt Schedule @ 6.5%'!J23</f>
        <v>26388585.257314853</v>
      </c>
      <c r="K23" s="63">
        <f t="shared" si="9"/>
        <v>13</v>
      </c>
      <c r="L23" s="56">
        <f>'Misc Alt Schedule @ 6.5%'!L23+'Safety Alt Schedule @ 6.5%'!L23</f>
        <v>2685714.0409833938</v>
      </c>
      <c r="M23" s="54">
        <f>'Misc Alt Schedule @ 6.5%'!M23+'Safety Alt Schedule @ 6.5%'!M23</f>
        <v>37415306.828678697</v>
      </c>
      <c r="N23" s="63">
        <f t="shared" si="10"/>
        <v>13</v>
      </c>
      <c r="O23" s="55">
        <f>'Misc Alt Schedule @ 6.5%'!O23+'Safety Alt Schedule @ 6.5%'!O23</f>
        <v>3601353.8480157512</v>
      </c>
      <c r="P23" s="419">
        <f t="shared" si="5"/>
        <v>261709161.2784867</v>
      </c>
      <c r="Q23" s="420">
        <f t="shared" si="11"/>
        <v>23</v>
      </c>
      <c r="R23" s="452">
        <f t="shared" si="6"/>
        <v>32429155.496120561</v>
      </c>
      <c r="S23" s="63"/>
      <c r="T23" s="142"/>
      <c r="U23" s="54">
        <f t="shared" si="12"/>
        <v>229191724.01177815</v>
      </c>
      <c r="V23" s="63">
        <f t="shared" si="13"/>
        <v>10</v>
      </c>
      <c r="W23" s="55">
        <f t="shared" si="7"/>
        <v>32204184.220538326</v>
      </c>
      <c r="X23" s="54">
        <f t="shared" si="1"/>
        <v>-63381331.736135468</v>
      </c>
      <c r="Y23" s="63">
        <f t="shared" si="14"/>
        <v>22</v>
      </c>
      <c r="Z23" s="55">
        <f t="shared" si="2"/>
        <v>-6450672.9299851228</v>
      </c>
      <c r="AA23" s="54">
        <f>'Misc Alt Schedule @ 6.5%'!P23+'Safety Alt Schedule @ 6.5%'!P23</f>
        <v>11338512.865478802</v>
      </c>
      <c r="AB23" s="63">
        <f t="shared" si="15"/>
        <v>13</v>
      </c>
      <c r="AC23" s="55">
        <f>'Misc Alt Schedule @ 6.5%'!R23+'Safety Alt Schedule @ 6.5%'!R23</f>
        <v>1091371.4305710057</v>
      </c>
      <c r="AD23" s="54">
        <f>'Misc Alt Schedule @ 6.5%'!S23+'Safety Alt Schedule @ 6.5%'!S23</f>
        <v>11837235.838748034</v>
      </c>
      <c r="AE23" s="63">
        <f t="shared" si="16"/>
        <v>13</v>
      </c>
      <c r="AF23" s="55">
        <f>'Misc Alt Schedule @ 6.5%'!U23+'Safety Alt Schedule @ 6.5%'!U23</f>
        <v>1139375.2571091943</v>
      </c>
      <c r="AG23" s="54">
        <f>'Misc Alt Schedule @ 6.5%'!V23+'Safety Alt Schedule @ 6.5%'!V23</f>
        <v>25260518.804112189</v>
      </c>
      <c r="AH23" s="63">
        <f t="shared" si="17"/>
        <v>13</v>
      </c>
      <c r="AI23" s="55">
        <f>'Misc Alt Schedule @ 6.5%'!X23+'Safety Alt Schedule @ 6.5%'!X23</f>
        <v>2431413.0848803814</v>
      </c>
      <c r="AJ23" s="54">
        <f>'Misc Alt Schedule @ 6.5%'!Y23+'Safety Alt Schedule @ 6.5%'!Y23</f>
        <v>57553114.189918965</v>
      </c>
      <c r="AK23" s="63">
        <f t="shared" si="18"/>
        <v>13</v>
      </c>
      <c r="AL23" s="55">
        <f>'Misc Alt Schedule @ 6.5%'!AA23+'Safety Alt Schedule @ 6.5%'!AA23</f>
        <v>5539688.0801277719</v>
      </c>
      <c r="AM23" s="56">
        <f>'Misc Alt Schedule @ 6.5%'!AB23+'Safety Alt Schedule @ 6.5%'!AB23</f>
        <v>367698542.97674465</v>
      </c>
      <c r="AN23" s="63">
        <f t="shared" si="19"/>
        <v>13</v>
      </c>
      <c r="AO23" s="297">
        <f>'Misc Alt Schedule @ 6.5%'!AD23+'Safety Alt Schedule @ 6.5%'!AD23</f>
        <v>42631003.348808914</v>
      </c>
      <c r="AP23" s="111"/>
      <c r="AQ23" s="54">
        <f>'Misc Alt Schedule @ 6.5%'!AF23+'Safety Alt Schedule @ 6.5%'!AF23</f>
        <v>343499646.08556652</v>
      </c>
      <c r="AR23" s="63">
        <f t="shared" si="20"/>
        <v>13</v>
      </c>
      <c r="AS23" s="55">
        <f>'Misc Alt Schedule @ 6.5%'!AH23+'Safety Alt Schedule @ 6.5%'!AH23</f>
        <v>39732892.890472561</v>
      </c>
      <c r="BA23" s="216">
        <v>500000</v>
      </c>
    </row>
    <row r="24" spans="1:53" x14ac:dyDescent="0.25">
      <c r="A24" s="49">
        <v>9</v>
      </c>
      <c r="B24" s="49">
        <f t="shared" si="3"/>
        <v>2025</v>
      </c>
      <c r="C24" s="49">
        <f t="shared" si="0"/>
        <v>2026</v>
      </c>
      <c r="D24" s="54">
        <f>'Misc Alt Schedule @ 7%'!D24+'Safety Alt Schedule @ 6.5%'!D24</f>
        <v>247090202.6272375</v>
      </c>
      <c r="E24" s="63">
        <f t="shared" si="8"/>
        <v>9</v>
      </c>
      <c r="F24" s="56">
        <f>'Misc Alt Schedule @ 6.5%'!F24+'Safety Alt Schedule @ 6.5%'!F24</f>
        <v>33570543.353219718</v>
      </c>
      <c r="G24" s="54">
        <f>'Misc Alt Schedule @ 6.5%'!G24+'Safety Alt Schedule @ 6.5%'!G24</f>
        <v>-61446731.571238875</v>
      </c>
      <c r="H24" s="63">
        <f t="shared" si="4"/>
        <v>21</v>
      </c>
      <c r="I24" s="55">
        <f>'Misc Alt Schedule @ 6.5%'!I24+'Safety Alt Schedule @ 6.5%'!I24</f>
        <v>-6644193.1178846769</v>
      </c>
      <c r="J24" s="56">
        <f>'Misc Alt Schedule @ 6.5%'!J24+'Safety Alt Schedule @ 6.5%'!J24</f>
        <v>25583121.566480421</v>
      </c>
      <c r="K24" s="63">
        <f t="shared" si="9"/>
        <v>12</v>
      </c>
      <c r="L24" s="56">
        <f>'Misc Alt Schedule @ 6.5%'!L24+'Safety Alt Schedule @ 6.5%'!L24</f>
        <v>2766285.462212896</v>
      </c>
      <c r="M24" s="54">
        <f>'Misc Alt Schedule @ 6.5%'!M24+'Safety Alt Schedule @ 6.5%'!M24</f>
        <v>36130746.477834009</v>
      </c>
      <c r="N24" s="63">
        <f t="shared" si="10"/>
        <v>12</v>
      </c>
      <c r="O24" s="55">
        <f>'Misc Alt Schedule @ 6.5%'!O24+'Safety Alt Schedule @ 6.5%'!O24</f>
        <v>3709394.4634562233</v>
      </c>
      <c r="P24" s="419">
        <f t="shared" si="5"/>
        <v>247357339.10031307</v>
      </c>
      <c r="Q24" s="420">
        <f t="shared" si="11"/>
        <v>22</v>
      </c>
      <c r="R24" s="452">
        <f t="shared" si="6"/>
        <v>33402030.16100416</v>
      </c>
      <c r="S24" s="63"/>
      <c r="T24" s="142"/>
      <c r="U24" s="54">
        <f t="shared" si="12"/>
        <v>212991094.44161376</v>
      </c>
      <c r="V24" s="63">
        <f t="shared" si="13"/>
        <v>9</v>
      </c>
      <c r="W24" s="55">
        <f t="shared" si="7"/>
        <v>32204184.220538333</v>
      </c>
      <c r="X24" s="54">
        <f t="shared" si="1"/>
        <v>-61446731.571238875</v>
      </c>
      <c r="Y24" s="63">
        <f t="shared" si="14"/>
        <v>21</v>
      </c>
      <c r="Z24" s="55">
        <f t="shared" si="2"/>
        <v>-6644193.1178846769</v>
      </c>
      <c r="AA24" s="54">
        <f>'Misc Alt Schedule @ 6.5%'!P24+'Safety Alt Schedule @ 6.5%'!P24</f>
        <v>10949233.57582261</v>
      </c>
      <c r="AB24" s="63">
        <f t="shared" si="15"/>
        <v>12</v>
      </c>
      <c r="AC24" s="55">
        <f>'Misc Alt Schedule @ 6.5%'!R24+'Safety Alt Schedule @ 6.5%'!R24</f>
        <v>1124112.5734881356</v>
      </c>
      <c r="AD24" s="54">
        <f>'Misc Alt Schedule @ 6.5%'!S24+'Safety Alt Schedule @ 6.5%'!S24</f>
        <v>11430834.151554108</v>
      </c>
      <c r="AE24" s="63">
        <f t="shared" si="16"/>
        <v>12</v>
      </c>
      <c r="AF24" s="55">
        <f>'Misc Alt Schedule @ 6.5%'!U24+'Safety Alt Schedule @ 6.5%'!U24</f>
        <v>1173556.51482247</v>
      </c>
      <c r="AG24" s="54">
        <f>'Misc Alt Schedule @ 6.5%'!V24+'Safety Alt Schedule @ 6.5%'!V24</f>
        <v>24393262.495187376</v>
      </c>
      <c r="AH24" s="63">
        <f t="shared" si="17"/>
        <v>12</v>
      </c>
      <c r="AI24" s="55">
        <f>'Misc Alt Schedule @ 6.5%'!X24+'Safety Alt Schedule @ 6.5%'!X24</f>
        <v>2504355.477426792</v>
      </c>
      <c r="AJ24" s="54">
        <f>'Misc Alt Schedule @ 6.5%'!Y24+'Safety Alt Schedule @ 6.5%'!Y24</f>
        <v>55577172.928912401</v>
      </c>
      <c r="AK24" s="63">
        <f t="shared" si="18"/>
        <v>12</v>
      </c>
      <c r="AL24" s="55">
        <f>'Misc Alt Schedule @ 6.5%'!AA24+'Safety Alt Schedule @ 6.5%'!AA24</f>
        <v>5705878.7225316036</v>
      </c>
      <c r="AM24" s="56">
        <f>'Misc Alt Schedule @ 6.5%'!AB24+'Safety Alt Schedule @ 6.5%'!AB24</f>
        <v>349707842.25178957</v>
      </c>
      <c r="AN24" s="63">
        <f t="shared" si="19"/>
        <v>12</v>
      </c>
      <c r="AO24" s="297">
        <f>'Misc Alt Schedule @ 6.5%'!AD24+'Safety Alt Schedule @ 6.5%'!AD24</f>
        <v>43909933.449273162</v>
      </c>
      <c r="AP24" s="111"/>
      <c r="AQ24" s="54">
        <f>'Misc Alt Schedule @ 6.5%'!AF24+'Safety Alt Schedule @ 6.5%'!AF24</f>
        <v>326444597.32291394</v>
      </c>
      <c r="AR24" s="63">
        <f t="shared" si="20"/>
        <v>12</v>
      </c>
      <c r="AS24" s="55">
        <f>'Misc Alt Schedule @ 6.5%'!AH24+'Safety Alt Schedule @ 6.5%'!AH24</f>
        <v>39732892.890472569</v>
      </c>
      <c r="BA24" s="216">
        <v>500000</v>
      </c>
    </row>
    <row r="25" spans="1:53" x14ac:dyDescent="0.25">
      <c r="A25" s="49">
        <v>10</v>
      </c>
      <c r="B25" s="49">
        <f t="shared" si="3"/>
        <v>2026</v>
      </c>
      <c r="C25" s="49">
        <f t="shared" si="0"/>
        <v>2027</v>
      </c>
      <c r="D25" s="54">
        <f>'Misc Alt Schedule @ 7%'!D25+'Safety Alt Schedule @ 6.5%'!D25</f>
        <v>230815287.65211099</v>
      </c>
      <c r="E25" s="63">
        <f t="shared" si="8"/>
        <v>8</v>
      </c>
      <c r="F25" s="56">
        <f>'Misc Alt Schedule @ 6.5%'!F25+'Safety Alt Schedule @ 6.5%'!F25</f>
        <v>34577659.653816313</v>
      </c>
      <c r="G25" s="54">
        <f>'Misc Alt Schedule @ 6.5%'!G25+'Safety Alt Schedule @ 6.5%'!G25</f>
        <v>-59166390.392621823</v>
      </c>
      <c r="H25" s="63">
        <f t="shared" si="4"/>
        <v>20</v>
      </c>
      <c r="I25" s="55">
        <f>'Misc Alt Schedule @ 6.5%'!I25+'Safety Alt Schedule @ 6.5%'!I25</f>
        <v>-6843518.9114212161</v>
      </c>
      <c r="J25" s="56">
        <f>'Misc Alt Schedule @ 6.5%'!J25+'Safety Alt Schedule @ 6.5%'!J25</f>
        <v>24633709.871279411</v>
      </c>
      <c r="K25" s="63">
        <f t="shared" si="9"/>
        <v>11</v>
      </c>
      <c r="L25" s="56">
        <f>'Misc Alt Schedule @ 6.5%'!L25+'Safety Alt Schedule @ 6.5%'!L25</f>
        <v>2849274.0260792822</v>
      </c>
      <c r="M25" s="54">
        <f>'Misc Alt Schedule @ 6.5%'!M25+'Safety Alt Schedule @ 6.5%'!M25</f>
        <v>34651193.045343153</v>
      </c>
      <c r="N25" s="63">
        <f t="shared" si="10"/>
        <v>11</v>
      </c>
      <c r="O25" s="55">
        <f>'Misc Alt Schedule @ 6.5%'!O25+'Safety Alt Schedule @ 6.5%'!O25</f>
        <v>3820676.2973599099</v>
      </c>
      <c r="P25" s="419">
        <f t="shared" si="5"/>
        <v>230933800.17611176</v>
      </c>
      <c r="Q25" s="420">
        <f t="shared" si="11"/>
        <v>21</v>
      </c>
      <c r="R25" s="452">
        <f t="shared" si="6"/>
        <v>34404091.065834284</v>
      </c>
      <c r="S25" s="63"/>
      <c r="T25" s="142"/>
      <c r="U25" s="54">
        <f t="shared" si="12"/>
        <v>195575417.65368703</v>
      </c>
      <c r="V25" s="63">
        <f t="shared" si="13"/>
        <v>8</v>
      </c>
      <c r="W25" s="55">
        <f t="shared" si="7"/>
        <v>32204184.220538337</v>
      </c>
      <c r="X25" s="54">
        <f t="shared" si="1"/>
        <v>-59166390.392621823</v>
      </c>
      <c r="Y25" s="63">
        <f t="shared" si="14"/>
        <v>20</v>
      </c>
      <c r="Z25" s="55">
        <f t="shared" si="2"/>
        <v>-6843518.9114212161</v>
      </c>
      <c r="AA25" s="54">
        <f>'Misc Alt Schedule @ 6.5%'!P25+'Safety Alt Schedule @ 6.5%'!P25</f>
        <v>10500862.653561398</v>
      </c>
      <c r="AB25" s="63">
        <f t="shared" si="15"/>
        <v>11</v>
      </c>
      <c r="AC25" s="55">
        <f>'Misc Alt Schedule @ 6.5%'!R25+'Safety Alt Schedule @ 6.5%'!R25</f>
        <v>1157835.9506927794</v>
      </c>
      <c r="AD25" s="54">
        <f>'Misc Alt Schedule @ 6.5%'!S25+'Safety Alt Schedule @ 6.5%'!S25</f>
        <v>10962741.694191199</v>
      </c>
      <c r="AE25" s="63">
        <f t="shared" si="16"/>
        <v>11</v>
      </c>
      <c r="AF25" s="55">
        <f>'Misc Alt Schedule @ 6.5%'!U25+'Safety Alt Schedule @ 6.5%'!U25</f>
        <v>1208763.210267144</v>
      </c>
      <c r="AG25" s="54">
        <f>'Misc Alt Schedule @ 6.5%'!V25+'Safety Alt Schedule @ 6.5%'!V25</f>
        <v>23394358.825246692</v>
      </c>
      <c r="AH25" s="63">
        <f t="shared" si="17"/>
        <v>11</v>
      </c>
      <c r="AI25" s="55">
        <f>'Misc Alt Schedule @ 6.5%'!X25+'Safety Alt Schedule @ 6.5%'!X25</f>
        <v>2579486.1417495958</v>
      </c>
      <c r="AJ25" s="54">
        <f>'Misc Alt Schedule @ 6.5%'!Y25+'Safety Alt Schedule @ 6.5%'!Y25</f>
        <v>53301288.675439879</v>
      </c>
      <c r="AK25" s="63">
        <f t="shared" si="18"/>
        <v>11</v>
      </c>
      <c r="AL25" s="55">
        <f>'Misc Alt Schedule @ 6.5%'!AA25+'Safety Alt Schedule @ 6.5%'!AA25</f>
        <v>5877055.0842075506</v>
      </c>
      <c r="AM25" s="56">
        <f>'Misc Alt Schedule @ 6.5%'!AB25+'Safety Alt Schedule @ 6.5%'!AB25</f>
        <v>329093052.02455091</v>
      </c>
      <c r="AN25" s="63">
        <f t="shared" si="19"/>
        <v>11</v>
      </c>
      <c r="AO25" s="297">
        <f>'Misc Alt Schedule @ 6.5%'!AD25+'Safety Alt Schedule @ 6.5%'!AD25</f>
        <v>45227231.452751368</v>
      </c>
      <c r="AP25" s="111"/>
      <c r="AQ25" s="54">
        <f>'Misc Alt Schedule @ 6.5%'!AF25+'Safety Alt Schedule @ 6.5%'!AF25</f>
        <v>308195695.14687568</v>
      </c>
      <c r="AR25" s="63">
        <f t="shared" si="20"/>
        <v>11</v>
      </c>
      <c r="AS25" s="55">
        <f>'Misc Alt Schedule @ 6.5%'!AH25+'Safety Alt Schedule @ 6.5%'!AH25</f>
        <v>39732892.890472569</v>
      </c>
      <c r="BA25" s="216">
        <v>500000</v>
      </c>
    </row>
    <row r="26" spans="1:53" x14ac:dyDescent="0.25">
      <c r="A26" s="49">
        <v>11</v>
      </c>
      <c r="B26" s="49">
        <f t="shared" si="3"/>
        <v>2027</v>
      </c>
      <c r="C26" s="49">
        <f t="shared" si="0"/>
        <v>2028</v>
      </c>
      <c r="D26" s="54">
        <f>'Misc Alt Schedule @ 7%'!D26+'Safety Alt Schedule @ 6.5%'!D26</f>
        <v>212275553.64868492</v>
      </c>
      <c r="E26" s="63">
        <f t="shared" si="8"/>
        <v>7</v>
      </c>
      <c r="F26" s="56">
        <f>'Misc Alt Schedule @ 6.5%'!F26+'Safety Alt Schedule @ 6.5%'!F26</f>
        <v>35614989.443430804</v>
      </c>
      <c r="G26" s="54">
        <f>'Misc Alt Schedule @ 6.5%'!G26+'Safety Alt Schedule @ 6.5%'!G26</f>
        <v>-56508358.244214699</v>
      </c>
      <c r="H26" s="63">
        <f t="shared" si="4"/>
        <v>19</v>
      </c>
      <c r="I26" s="55">
        <f>'Misc Alt Schedule @ 6.5%'!I26+'Safety Alt Schedule @ 6.5%'!I26</f>
        <v>-7048824.4787638541</v>
      </c>
      <c r="J26" s="56">
        <f>'Misc Alt Schedule @ 6.5%'!J26+'Safety Alt Schedule @ 6.5%'!J26</f>
        <v>23527047.924557716</v>
      </c>
      <c r="K26" s="63">
        <f t="shared" si="9"/>
        <v>10</v>
      </c>
      <c r="L26" s="56">
        <f>'Misc Alt Schedule @ 6.5%'!L26+'Safety Alt Schedule @ 6.5%'!L26</f>
        <v>2934752.2468616613</v>
      </c>
      <c r="M26" s="54">
        <f>'Misc Alt Schedule @ 6.5%'!M26+'Safety Alt Schedule @ 6.5%'!M26</f>
        <v>32960627.081133891</v>
      </c>
      <c r="N26" s="63">
        <f t="shared" si="10"/>
        <v>10</v>
      </c>
      <c r="O26" s="55">
        <f>'Misc Alt Schedule @ 6.5%'!O26+'Safety Alt Schedule @ 6.5%'!O26</f>
        <v>3935296.5862807063</v>
      </c>
      <c r="P26" s="419">
        <f t="shared" si="5"/>
        <v>212254870.41016182</v>
      </c>
      <c r="Q26" s="420">
        <f t="shared" si="11"/>
        <v>20</v>
      </c>
      <c r="R26" s="452">
        <f t="shared" si="6"/>
        <v>35436213.797809318</v>
      </c>
      <c r="S26" s="63"/>
      <c r="T26" s="142"/>
      <c r="U26" s="54">
        <f t="shared" si="12"/>
        <v>176853565.10666579</v>
      </c>
      <c r="V26" s="63">
        <f t="shared" si="13"/>
        <v>7</v>
      </c>
      <c r="W26" s="55">
        <f t="shared" si="7"/>
        <v>32204184.220538341</v>
      </c>
      <c r="X26" s="54">
        <f t="shared" si="1"/>
        <v>-56508358.244214699</v>
      </c>
      <c r="Y26" s="63">
        <f t="shared" si="14"/>
        <v>19</v>
      </c>
      <c r="Z26" s="55">
        <f t="shared" si="2"/>
        <v>-7048824.4787638541</v>
      </c>
      <c r="AA26" s="54">
        <f>'Misc Alt Schedule @ 6.5%'!P26+'Safety Alt Schedule @ 6.5%'!P26</f>
        <v>9988545.4882125184</v>
      </c>
      <c r="AB26" s="63">
        <f t="shared" si="15"/>
        <v>10</v>
      </c>
      <c r="AC26" s="55">
        <f>'Misc Alt Schedule @ 6.5%'!R26+'Safety Alt Schedule @ 6.5%'!R26</f>
        <v>1192571.0292135628</v>
      </c>
      <c r="AD26" s="54">
        <f>'Misc Alt Schedule @ 6.5%'!S26+'Safety Alt Schedule @ 6.5%'!S26</f>
        <v>10427890.326783283</v>
      </c>
      <c r="AE26" s="63">
        <f t="shared" si="16"/>
        <v>10</v>
      </c>
      <c r="AF26" s="55">
        <f>'Misc Alt Schedule @ 6.5%'!U26+'Safety Alt Schedule @ 6.5%'!U26</f>
        <v>1245026.1065751584</v>
      </c>
      <c r="AG26" s="54">
        <f>'Misc Alt Schedule @ 6.5%'!V26+'Safety Alt Schedule @ 6.5%'!V26</f>
        <v>22252992.444796022</v>
      </c>
      <c r="AH26" s="63">
        <f t="shared" si="17"/>
        <v>10</v>
      </c>
      <c r="AI26" s="55">
        <f>'Misc Alt Schedule @ 6.5%'!X26+'Safety Alt Schedule @ 6.5%'!X26</f>
        <v>2656870.7260020841</v>
      </c>
      <c r="AJ26" s="54">
        <f>'Misc Alt Schedule @ 6.5%'!Y26+'Safety Alt Schedule @ 6.5%'!Y26</f>
        <v>50700819.930676088</v>
      </c>
      <c r="AK26" s="63">
        <f t="shared" si="18"/>
        <v>10</v>
      </c>
      <c r="AL26" s="55">
        <f>'Misc Alt Schedule @ 6.5%'!AA26+'Safety Alt Schedule @ 6.5%'!AA26</f>
        <v>6053366.7367337756</v>
      </c>
      <c r="AM26" s="56">
        <f>'Misc Alt Schedule @ 6.5%'!AB26+'Safety Alt Schedule @ 6.5%'!AB26</f>
        <v>305625118.60062969</v>
      </c>
      <c r="AN26" s="63">
        <f t="shared" si="19"/>
        <v>10</v>
      </c>
      <c r="AO26" s="297">
        <f>'Misc Alt Schedule @ 6.5%'!AD26+'Safety Alt Schedule @ 6.5%'!AD26</f>
        <v>46584048.396333888</v>
      </c>
      <c r="AP26" s="111"/>
      <c r="AQ26" s="54">
        <f>'Misc Alt Schedule @ 6.5%'!AF26+'Safety Alt Schedule @ 6.5%'!AF26</f>
        <v>288669369.81851476</v>
      </c>
      <c r="AR26" s="63">
        <f t="shared" si="20"/>
        <v>10</v>
      </c>
      <c r="AS26" s="55">
        <f>'Misc Alt Schedule @ 6.5%'!AH26+'Safety Alt Schedule @ 6.5%'!AH26</f>
        <v>39732892.890472569</v>
      </c>
      <c r="BA26" s="216">
        <v>500000</v>
      </c>
    </row>
    <row r="27" spans="1:53" x14ac:dyDescent="0.25">
      <c r="A27" s="49">
        <v>12</v>
      </c>
      <c r="B27" s="49">
        <f t="shared" si="3"/>
        <v>2028</v>
      </c>
      <c r="C27" s="49">
        <f t="shared" si="0"/>
        <v>2029</v>
      </c>
      <c r="D27" s="54">
        <f>'Misc Alt Schedule @ 7%'!D27+'Safety Alt Schedule @ 6.5%'!D27</f>
        <v>191269813.17768183</v>
      </c>
      <c r="E27" s="63">
        <f t="shared" si="8"/>
        <v>6</v>
      </c>
      <c r="F27" s="56">
        <f>'Misc Alt Schedule @ 6.5%'!F27+'Safety Alt Schedule @ 6.5%'!F27</f>
        <v>36683439.126733728</v>
      </c>
      <c r="G27" s="54">
        <f>'Misc Alt Schedule @ 6.5%'!G27+'Safety Alt Schedule @ 6.5%'!G27</f>
        <v>-53438108.341841422</v>
      </c>
      <c r="H27" s="63">
        <f t="shared" si="4"/>
        <v>18</v>
      </c>
      <c r="I27" s="55">
        <f>'Misc Alt Schedule @ 6.5%'!I27+'Safety Alt Schedule @ 6.5%'!I27</f>
        <v>-7260289.2131267684</v>
      </c>
      <c r="J27" s="56">
        <f>'Misc Alt Schedule @ 6.5%'!J27+'Safety Alt Schedule @ 6.5%'!J27</f>
        <v>22248760.626219865</v>
      </c>
      <c r="K27" s="63">
        <f t="shared" si="9"/>
        <v>9</v>
      </c>
      <c r="L27" s="56">
        <f>'Misc Alt Schedule @ 6.5%'!L27+'Safety Alt Schedule @ 6.5%'!L27</f>
        <v>3022794.8142675105</v>
      </c>
      <c r="M27" s="54">
        <f>'Misc Alt Schedule @ 6.5%'!M27+'Safety Alt Schedule @ 6.5%'!M27</f>
        <v>31041887.52388633</v>
      </c>
      <c r="N27" s="63">
        <f t="shared" si="10"/>
        <v>9</v>
      </c>
      <c r="O27" s="55">
        <f>'Misc Alt Schedule @ 6.5%'!O27+'Safety Alt Schedule @ 6.5%'!O27</f>
        <v>4053355.4838691279</v>
      </c>
      <c r="P27" s="419">
        <f t="shared" si="5"/>
        <v>191122352.9859466</v>
      </c>
      <c r="Q27" s="420">
        <f t="shared" si="11"/>
        <v>19</v>
      </c>
      <c r="R27" s="452">
        <f t="shared" si="6"/>
        <v>36499300.211743601</v>
      </c>
      <c r="S27" s="63"/>
      <c r="T27" s="142"/>
      <c r="U27" s="54">
        <f t="shared" si="12"/>
        <v>156727573.61861795</v>
      </c>
      <c r="V27" s="63">
        <f t="shared" si="13"/>
        <v>6</v>
      </c>
      <c r="W27" s="55">
        <f t="shared" si="7"/>
        <v>32204184.220538341</v>
      </c>
      <c r="X27" s="54">
        <f t="shared" si="1"/>
        <v>-53438108.341841422</v>
      </c>
      <c r="Y27" s="63">
        <f t="shared" si="14"/>
        <v>18</v>
      </c>
      <c r="Z27" s="55">
        <f t="shared" si="2"/>
        <v>-7260289.2131267684</v>
      </c>
      <c r="AA27" s="54">
        <f>'Misc Alt Schedule @ 6.5%'!P27+'Safety Alt Schedule @ 6.5%'!P27</f>
        <v>9407081.5099810474</v>
      </c>
      <c r="AB27" s="63">
        <f t="shared" si="15"/>
        <v>9</v>
      </c>
      <c r="AC27" s="55">
        <f>'Misc Alt Schedule @ 6.5%'!R27+'Safety Alt Schedule @ 6.5%'!R27</f>
        <v>1228348.1600899696</v>
      </c>
      <c r="AD27" s="54">
        <f>'Misc Alt Schedule @ 6.5%'!S27+'Safety Alt Schedule @ 6.5%'!S27</f>
        <v>9820850.7331679426</v>
      </c>
      <c r="AE27" s="63">
        <f t="shared" si="16"/>
        <v>9</v>
      </c>
      <c r="AF27" s="55">
        <f>'Misc Alt Schedule @ 6.5%'!U27+'Safety Alt Schedule @ 6.5%'!U27</f>
        <v>1282376.8897724131</v>
      </c>
      <c r="AG27" s="54">
        <f>'Misc Alt Schedule @ 6.5%'!V27+'Safety Alt Schedule @ 6.5%'!V27</f>
        <v>20957577.258493312</v>
      </c>
      <c r="AH27" s="63">
        <f t="shared" si="17"/>
        <v>9</v>
      </c>
      <c r="AI27" s="55">
        <f>'Misc Alt Schedule @ 6.5%'!X27+'Safety Alt Schedule @ 6.5%'!X27</f>
        <v>2736576.8477821462</v>
      </c>
      <c r="AJ27" s="54">
        <f>'Misc Alt Schedule @ 6.5%'!Y27+'Safety Alt Schedule @ 6.5%'!Y27</f>
        <v>47749369.142242625</v>
      </c>
      <c r="AK27" s="63">
        <f t="shared" si="18"/>
        <v>9</v>
      </c>
      <c r="AL27" s="55">
        <f>'Misc Alt Schedule @ 6.5%'!AA27+'Safety Alt Schedule @ 6.5%'!AA27</f>
        <v>6234967.7388357911</v>
      </c>
      <c r="AM27" s="56">
        <f>'Misc Alt Schedule @ 6.5%'!AB27+'Safety Alt Schedule @ 6.5%'!AB27</f>
        <v>279057231.62983155</v>
      </c>
      <c r="AN27" s="63">
        <f t="shared" si="19"/>
        <v>9</v>
      </c>
      <c r="AO27" s="297">
        <f>'Misc Alt Schedule @ 6.5%'!AD27+'Safety Alt Schedule @ 6.5%'!AD27</f>
        <v>47981569.848223917</v>
      </c>
      <c r="AP27" s="111"/>
      <c r="AQ27" s="54">
        <f>'Misc Alt Schedule @ 6.5%'!AF27+'Safety Alt Schedule @ 6.5%'!AF27</f>
        <v>267776201.71716854</v>
      </c>
      <c r="AR27" s="63">
        <f t="shared" si="20"/>
        <v>9</v>
      </c>
      <c r="AS27" s="55">
        <f>'Misc Alt Schedule @ 6.5%'!AH27+'Safety Alt Schedule @ 6.5%'!AH27</f>
        <v>39732892.890472569</v>
      </c>
      <c r="BA27" s="216">
        <v>500000</v>
      </c>
    </row>
    <row r="28" spans="1:53" s="50" customFormat="1" x14ac:dyDescent="0.25">
      <c r="A28" s="49">
        <v>13</v>
      </c>
      <c r="B28" s="49">
        <f t="shared" si="3"/>
        <v>2029</v>
      </c>
      <c r="C28" s="49">
        <f t="shared" si="0"/>
        <v>2030</v>
      </c>
      <c r="D28" s="54">
        <f>'Misc Alt Schedule @ 7%'!D28+'Safety Alt Schedule @ 6.5%'!D28</f>
        <v>167580849.96151388</v>
      </c>
      <c r="E28" s="63">
        <f t="shared" si="8"/>
        <v>5</v>
      </c>
      <c r="F28" s="56">
        <f>'Misc Alt Schedule @ 6.5%'!F28+'Safety Alt Schedule @ 6.5%'!F28</f>
        <v>37783942.300535753</v>
      </c>
      <c r="G28" s="54">
        <f>'Misc Alt Schedule @ 6.5%'!G28+'Safety Alt Schedule @ 6.5%'!G28</f>
        <v>-49918338.393669471</v>
      </c>
      <c r="H28" s="63">
        <f t="shared" si="4"/>
        <v>17</v>
      </c>
      <c r="I28" s="55">
        <f>'Misc Alt Schedule @ 6.5%'!I28+'Safety Alt Schedule @ 6.5%'!I28</f>
        <v>-7478097.8895205716</v>
      </c>
      <c r="J28" s="56">
        <f>'Misc Alt Schedule @ 6.5%'!J28+'Safety Alt Schedule @ 6.5%'!J28</f>
        <v>20783317.303726286</v>
      </c>
      <c r="K28" s="63">
        <f t="shared" si="9"/>
        <v>8</v>
      </c>
      <c r="L28" s="56">
        <f>'Misc Alt Schedule @ 6.5%'!L28+'Safety Alt Schedule @ 6.5%'!L28</f>
        <v>3113478.6586955357</v>
      </c>
      <c r="M28" s="54">
        <f>'Misc Alt Schedule @ 6.5%'!M28+'Safety Alt Schedule @ 6.5%'!M28</f>
        <v>28876594.485892043</v>
      </c>
      <c r="N28" s="63">
        <f t="shared" si="10"/>
        <v>8</v>
      </c>
      <c r="O28" s="55">
        <f>'Misc Alt Schedule @ 6.5%'!O28+'Safety Alt Schedule @ 6.5%'!O28</f>
        <v>4174956.1483852006</v>
      </c>
      <c r="P28" s="419">
        <f t="shared" si="5"/>
        <v>167322423.35746276</v>
      </c>
      <c r="Q28" s="420">
        <f t="shared" si="11"/>
        <v>18</v>
      </c>
      <c r="R28" s="452">
        <f t="shared" si="6"/>
        <v>37594279.218095914</v>
      </c>
      <c r="S28" s="63"/>
      <c r="T28" s="142"/>
      <c r="U28" s="54">
        <f t="shared" si="12"/>
        <v>135092132.76896653</v>
      </c>
      <c r="V28" s="63">
        <f t="shared" si="13"/>
        <v>5</v>
      </c>
      <c r="W28" s="55">
        <f t="shared" si="7"/>
        <v>32204184.220538329</v>
      </c>
      <c r="X28" s="54">
        <f t="shared" si="1"/>
        <v>-49918338.393669471</v>
      </c>
      <c r="Y28" s="63">
        <f t="shared" si="14"/>
        <v>17</v>
      </c>
      <c r="Z28" s="55">
        <f t="shared" si="2"/>
        <v>-7478097.8895205716</v>
      </c>
      <c r="AA28" s="54">
        <f>'Misc Alt Schedule @ 6.5%'!P28+'Safety Alt Schedule @ 6.5%'!P28</f>
        <v>8750900.7901155744</v>
      </c>
      <c r="AB28" s="63">
        <f t="shared" si="15"/>
        <v>8</v>
      </c>
      <c r="AC28" s="55">
        <f>'Misc Alt Schedule @ 6.5%'!R28+'Safety Alt Schedule @ 6.5%'!R28</f>
        <v>1265198.6048926683</v>
      </c>
      <c r="AD28" s="54">
        <f>'Misc Alt Schedule @ 6.5%'!S28+'Safety Alt Schedule @ 6.5%'!S28</f>
        <v>9135807.9920219183</v>
      </c>
      <c r="AE28" s="63">
        <f t="shared" si="16"/>
        <v>8</v>
      </c>
      <c r="AF28" s="55">
        <f>'Misc Alt Schedule @ 6.5%'!U28+'Safety Alt Schedule @ 6.5%'!U28</f>
        <v>1320848.1964655854</v>
      </c>
      <c r="AG28" s="54">
        <f>'Misc Alt Schedule @ 6.5%'!V28+'Safety Alt Schedule @ 6.5%'!V28</f>
        <v>19495704.294224489</v>
      </c>
      <c r="AH28" s="63">
        <f t="shared" si="17"/>
        <v>8</v>
      </c>
      <c r="AI28" s="55">
        <f>'Misc Alt Schedule @ 6.5%'!X28+'Safety Alt Schedule @ 6.5%'!X28</f>
        <v>2818674.1532156104</v>
      </c>
      <c r="AJ28" s="54">
        <f>'Misc Alt Schedule @ 6.5%'!Y28+'Safety Alt Schedule @ 6.5%'!Y28</f>
        <v>44418663.930043176</v>
      </c>
      <c r="AK28" s="63">
        <f t="shared" si="18"/>
        <v>8</v>
      </c>
      <c r="AL28" s="55">
        <f>'Misc Alt Schedule @ 6.5%'!AA28+'Safety Alt Schedule @ 6.5%'!AA28</f>
        <v>6422016.7710008621</v>
      </c>
      <c r="AM28" s="56">
        <f>'Misc Alt Schedule @ 6.5%'!AB28+'Safety Alt Schedule @ 6.5%'!AB28</f>
        <v>249123500.36386788</v>
      </c>
      <c r="AN28" s="63">
        <f t="shared" si="19"/>
        <v>8</v>
      </c>
      <c r="AO28" s="297">
        <f>'Misc Alt Schedule @ 6.5%'!AD28+'Safety Alt Schedule @ 6.5%'!AD28</f>
        <v>49421016.943670645</v>
      </c>
      <c r="AP28" s="111"/>
      <c r="AQ28" s="54">
        <f>'Misc Alt Schedule @ 6.5%'!AF28+'Safety Alt Schedule @ 6.5%'!AF28</f>
        <v>245420511.84872812</v>
      </c>
      <c r="AR28" s="63">
        <f t="shared" si="20"/>
        <v>8</v>
      </c>
      <c r="AS28" s="55">
        <f>'Misc Alt Schedule @ 6.5%'!AH28+'Safety Alt Schedule @ 6.5%'!AH28</f>
        <v>39732892.890472569</v>
      </c>
      <c r="BA28" s="216">
        <v>500000</v>
      </c>
    </row>
    <row r="29" spans="1:53" s="50" customFormat="1" x14ac:dyDescent="0.25">
      <c r="A29" s="49">
        <v>14</v>
      </c>
      <c r="B29" s="49">
        <f t="shared" si="3"/>
        <v>2030</v>
      </c>
      <c r="C29" s="49">
        <f t="shared" si="0"/>
        <v>2031</v>
      </c>
      <c r="D29" s="54">
        <f>'Misc Alt Schedule @ 7%'!D29+'Safety Alt Schedule @ 6.5%'!D29</f>
        <v>140974188.52799851</v>
      </c>
      <c r="E29" s="63">
        <f t="shared" si="8"/>
        <v>4</v>
      </c>
      <c r="F29" s="56">
        <f>'Misc Alt Schedule @ 6.5%'!F29+'Safety Alt Schedule @ 6.5%'!F29</f>
        <v>38917460.569551826</v>
      </c>
      <c r="G29" s="54">
        <f>'Misc Alt Schedule @ 6.5%'!G29+'Safety Alt Schedule @ 6.5%'!G29</f>
        <v>-45908756.857170321</v>
      </c>
      <c r="H29" s="63">
        <f t="shared" si="4"/>
        <v>16</v>
      </c>
      <c r="I29" s="55">
        <f>'Misc Alt Schedule @ 6.5%'!I29+'Safety Alt Schedule @ 6.5%'!I29</f>
        <v>-7702440.8262061886</v>
      </c>
      <c r="J29" s="56">
        <f>'Misc Alt Schedule @ 6.5%'!J29+'Safety Alt Schedule @ 6.5%'!J29</f>
        <v>19113942.720961884</v>
      </c>
      <c r="K29" s="63">
        <f t="shared" si="9"/>
        <v>7</v>
      </c>
      <c r="L29" s="56">
        <f>'Misc Alt Schedule @ 6.5%'!L29+'Safety Alt Schedule @ 6.5%'!L29</f>
        <v>3206883.0184564022</v>
      </c>
      <c r="M29" s="54">
        <f>'Misc Alt Schedule @ 6.5%'!M29+'Safety Alt Schedule @ 6.5%'!M29</f>
        <v>26445066.928616714</v>
      </c>
      <c r="N29" s="63">
        <f t="shared" si="10"/>
        <v>7</v>
      </c>
      <c r="O29" s="55">
        <f>'Misc Alt Schedule @ 6.5%'!O29+'Safety Alt Schedule @ 6.5%'!O29</f>
        <v>4300204.8328367565</v>
      </c>
      <c r="P29" s="419">
        <f t="shared" si="5"/>
        <v>140624441.32040679</v>
      </c>
      <c r="Q29" s="420">
        <f t="shared" si="11"/>
        <v>17</v>
      </c>
      <c r="R29" s="452">
        <f t="shared" si="6"/>
        <v>38722107.594638795</v>
      </c>
      <c r="S29" s="63"/>
      <c r="T29" s="142"/>
      <c r="U29" s="54">
        <f t="shared" si="12"/>
        <v>111834033.85559125</v>
      </c>
      <c r="V29" s="63">
        <f t="shared" si="13"/>
        <v>4</v>
      </c>
      <c r="W29" s="55">
        <f t="shared" si="7"/>
        <v>32204184.220538337</v>
      </c>
      <c r="X29" s="54">
        <f t="shared" si="1"/>
        <v>-45908756.857170321</v>
      </c>
      <c r="Y29" s="63">
        <f t="shared" si="14"/>
        <v>16</v>
      </c>
      <c r="Z29" s="55">
        <f t="shared" si="2"/>
        <v>-7702440.8262061886</v>
      </c>
      <c r="AA29" s="54">
        <f>'Misc Alt Schedule @ 6.5%'!P29+'Safety Alt Schedule @ 6.5%'!P29</f>
        <v>8014039.0929184193</v>
      </c>
      <c r="AB29" s="63">
        <f t="shared" si="15"/>
        <v>7</v>
      </c>
      <c r="AC29" s="55">
        <f>'Misc Alt Schedule @ 6.5%'!R29+'Safety Alt Schedule @ 6.5%'!R29</f>
        <v>1303154.5630394483</v>
      </c>
      <c r="AD29" s="54">
        <f>'Misc Alt Schedule @ 6.5%'!S29+'Safety Alt Schedule @ 6.5%'!S29</f>
        <v>8366535.5315373428</v>
      </c>
      <c r="AE29" s="63">
        <f t="shared" si="16"/>
        <v>7</v>
      </c>
      <c r="AF29" s="55">
        <f>'Misc Alt Schedule @ 6.5%'!U29+'Safety Alt Schedule @ 6.5%'!U29</f>
        <v>1360473.6423595524</v>
      </c>
      <c r="AG29" s="54">
        <f>'Misc Alt Schedule @ 6.5%'!V29+'Safety Alt Schedule @ 6.5%'!V29</f>
        <v>17854086.122696072</v>
      </c>
      <c r="AH29" s="63">
        <f t="shared" si="17"/>
        <v>7</v>
      </c>
      <c r="AI29" s="55">
        <f>'Misc Alt Schedule @ 6.5%'!X29+'Safety Alt Schedule @ 6.5%'!X29</f>
        <v>2903234.3778120782</v>
      </c>
      <c r="AJ29" s="54">
        <f>'Misc Alt Schedule @ 6.5%'!Y29+'Safety Alt Schedule @ 6.5%'!Y29</f>
        <v>40678430.452857405</v>
      </c>
      <c r="AK29" s="63">
        <f t="shared" si="18"/>
        <v>7</v>
      </c>
      <c r="AL29" s="55">
        <f>'Misc Alt Schedule @ 6.5%'!AA29+'Safety Alt Schedule @ 6.5%'!AA29</f>
        <v>6614677.2741308874</v>
      </c>
      <c r="AM29" s="56">
        <f>'Misc Alt Schedule @ 6.5%'!AB29+'Safety Alt Schedule @ 6.5%'!AB29</f>
        <v>215537532.52041602</v>
      </c>
      <c r="AN29" s="63">
        <f t="shared" si="19"/>
        <v>7</v>
      </c>
      <c r="AO29" s="297">
        <f>'Misc Alt Schedule @ 6.5%'!AD29+'Safety Alt Schedule @ 6.5%'!AD29</f>
        <v>50903647.451980762</v>
      </c>
      <c r="AP29" s="111"/>
      <c r="AQ29" s="54">
        <f>'Misc Alt Schedule @ 6.5%'!AF29+'Safety Alt Schedule @ 6.5%'!AF29</f>
        <v>221499923.68949685</v>
      </c>
      <c r="AR29" s="63">
        <f t="shared" si="20"/>
        <v>7</v>
      </c>
      <c r="AS29" s="55">
        <f>'Misc Alt Schedule @ 6.5%'!AH29+'Safety Alt Schedule @ 6.5%'!AH29</f>
        <v>39732892.890472561</v>
      </c>
      <c r="BA29" s="216">
        <v>500000</v>
      </c>
    </row>
    <row r="30" spans="1:53" s="50" customFormat="1" x14ac:dyDescent="0.25">
      <c r="A30" s="49">
        <v>15</v>
      </c>
      <c r="B30" s="49">
        <f t="shared" si="3"/>
        <v>2031</v>
      </c>
      <c r="C30" s="49">
        <f t="shared" si="0"/>
        <v>2032</v>
      </c>
      <c r="D30" s="54">
        <f>'Misc Alt Schedule @ 7%'!D30+'Safety Alt Schedule @ 6.5%'!D30</f>
        <v>111196770.73155063</v>
      </c>
      <c r="E30" s="63">
        <f t="shared" si="8"/>
        <v>3</v>
      </c>
      <c r="F30" s="56">
        <f>'Misc Alt Schedule @ 6.5%'!F30+'Safety Alt Schedule @ 6.5%'!F30</f>
        <v>40084984.386638373</v>
      </c>
      <c r="G30" s="54">
        <f>'Misc Alt Schedule @ 6.5%'!G30+'Safety Alt Schedule @ 6.5%'!G30</f>
        <v>-41365852.997953005</v>
      </c>
      <c r="H30" s="63">
        <f t="shared" si="4"/>
        <v>15</v>
      </c>
      <c r="I30" s="55">
        <f>'Misc Alt Schedule @ 6.5%'!I30+'Safety Alt Schedule @ 6.5%'!I30</f>
        <v>-7933514.0509923734</v>
      </c>
      <c r="J30" s="56">
        <f>'Misc Alt Schedule @ 6.5%'!J30+'Safety Alt Schedule @ 6.5%'!J30</f>
        <v>17222521.343073837</v>
      </c>
      <c r="K30" s="63">
        <f t="shared" si="9"/>
        <v>6</v>
      </c>
      <c r="L30" s="56">
        <f>'Misc Alt Schedule @ 6.5%'!L30+'Safety Alt Schedule @ 6.5%'!L30</f>
        <v>3303089.5090100938</v>
      </c>
      <c r="M30" s="54">
        <f>'Misc Alt Schedule @ 6.5%'!M30+'Safety Alt Schedule @ 6.5%'!M30</f>
        <v>23726234.894152746</v>
      </c>
      <c r="N30" s="63">
        <f t="shared" si="10"/>
        <v>6</v>
      </c>
      <c r="O30" s="55">
        <f>'Misc Alt Schedule @ 6.5%'!O30+'Safety Alt Schedule @ 6.5%'!O30</f>
        <v>4429210.9778218586</v>
      </c>
      <c r="P30" s="419">
        <f t="shared" si="5"/>
        <v>110779673.97082423</v>
      </c>
      <c r="Q30" s="420">
        <f t="shared" si="11"/>
        <v>16</v>
      </c>
      <c r="R30" s="452">
        <f t="shared" si="6"/>
        <v>39883770.822477952</v>
      </c>
      <c r="S30" s="63"/>
      <c r="T30" s="142"/>
      <c r="U30" s="54">
        <f t="shared" si="12"/>
        <v>86831577.523712844</v>
      </c>
      <c r="V30" s="63">
        <f t="shared" si="13"/>
        <v>3</v>
      </c>
      <c r="W30" s="55">
        <f t="shared" si="7"/>
        <v>32204184.220538344</v>
      </c>
      <c r="X30" s="54">
        <f t="shared" si="1"/>
        <v>-41365852.997953005</v>
      </c>
      <c r="Y30" s="63">
        <f t="shared" si="14"/>
        <v>15</v>
      </c>
      <c r="Z30" s="55">
        <f t="shared" si="2"/>
        <v>-7933514.0509923734</v>
      </c>
      <c r="AA30" s="54">
        <f>'Misc Alt Schedule @ 6.5%'!P30+'Safety Alt Schedule @ 6.5%'!P30</f>
        <v>7190111.2779468084</v>
      </c>
      <c r="AB30" s="63">
        <f t="shared" si="15"/>
        <v>6</v>
      </c>
      <c r="AC30" s="55">
        <f>'Misc Alt Schedule @ 6.5%'!R30+'Safety Alt Schedule @ 6.5%'!R30</f>
        <v>1342249.1999306316</v>
      </c>
      <c r="AD30" s="54">
        <f>'Misc Alt Schedule @ 6.5%'!S30+'Safety Alt Schedule @ 6.5%'!S30</f>
        <v>7506367.3617222924</v>
      </c>
      <c r="AE30" s="63">
        <f t="shared" si="16"/>
        <v>6</v>
      </c>
      <c r="AF30" s="55">
        <f>'Misc Alt Schedule @ 6.5%'!U30+'Safety Alt Schedule @ 6.5%'!U30</f>
        <v>1401287.8516303385</v>
      </c>
      <c r="AG30" s="54">
        <f>'Misc Alt Schedule @ 6.5%'!V30+'Safety Alt Schedule @ 6.5%'!V30</f>
        <v>16018497.601498716</v>
      </c>
      <c r="AH30" s="63">
        <f t="shared" si="17"/>
        <v>6</v>
      </c>
      <c r="AI30" s="55">
        <f>'Misc Alt Schedule @ 6.5%'!X30+'Safety Alt Schedule @ 6.5%'!X30</f>
        <v>2990331.4091464402</v>
      </c>
      <c r="AJ30" s="54">
        <f>'Misc Alt Schedule @ 6.5%'!Y30+'Safety Alt Schedule @ 6.5%'!Y30</f>
        <v>36496258.400675394</v>
      </c>
      <c r="AK30" s="63">
        <f t="shared" si="18"/>
        <v>6</v>
      </c>
      <c r="AL30" s="55">
        <f>'Misc Alt Schedule @ 6.5%'!AA30+'Safety Alt Schedule @ 6.5%'!AA30</f>
        <v>6813117.5923548117</v>
      </c>
      <c r="AM30" s="56">
        <f>'Misc Alt Schedule @ 6.5%'!AB30+'Safety Alt Schedule @ 6.5%'!AB30</f>
        <v>177990908.61266738</v>
      </c>
      <c r="AN30" s="63">
        <f t="shared" si="19"/>
        <v>6</v>
      </c>
      <c r="AO30" s="297">
        <f>'Misc Alt Schedule @ 6.5%'!AD30+'Safety Alt Schedule @ 6.5%'!AD30</f>
        <v>52430756.875540167</v>
      </c>
      <c r="AP30" s="111"/>
      <c r="AQ30" s="54">
        <f>'Misc Alt Schedule @ 6.5%'!AF30+'Safety Alt Schedule @ 6.5%'!AF30</f>
        <v>195904894.35911939</v>
      </c>
      <c r="AR30" s="63">
        <f t="shared" si="20"/>
        <v>6</v>
      </c>
      <c r="AS30" s="55">
        <f>'Misc Alt Schedule @ 6.5%'!AH30+'Safety Alt Schedule @ 6.5%'!AH30</f>
        <v>39732892.890472561</v>
      </c>
      <c r="BA30" s="216">
        <v>500000</v>
      </c>
    </row>
    <row r="31" spans="1:53" s="50" customFormat="1" x14ac:dyDescent="0.25">
      <c r="A31" s="49">
        <v>16</v>
      </c>
      <c r="B31" s="49">
        <f t="shared" si="3"/>
        <v>2032</v>
      </c>
      <c r="C31" s="49">
        <f t="shared" si="0"/>
        <v>2033</v>
      </c>
      <c r="D31" s="54">
        <f>'Misc Alt Schedule @ 7%'!D31+'Safety Alt Schedule @ 6.5%'!D31</f>
        <v>77975532.142287731</v>
      </c>
      <c r="E31" s="63">
        <f t="shared" si="8"/>
        <v>2</v>
      </c>
      <c r="F31" s="56">
        <f>'Misc Alt Schedule @ 6.5%'!F31+'Safety Alt Schedule @ 6.5%'!F31</f>
        <v>41287533.91823753</v>
      </c>
      <c r="G31" s="54">
        <f>'Misc Alt Schedule @ 6.5%'!G31+'Safety Alt Schedule @ 6.5%'!G31</f>
        <v>-36242649.530589238</v>
      </c>
      <c r="H31" s="63">
        <f t="shared" si="4"/>
        <v>14</v>
      </c>
      <c r="I31" s="55">
        <f>'Misc Alt Schedule @ 6.5%'!I31+'Safety Alt Schedule @ 6.5%'!I31</f>
        <v>-8171519.472522147</v>
      </c>
      <c r="J31" s="56">
        <f>'Misc Alt Schedule @ 6.5%'!J31+'Safety Alt Schedule @ 6.5%'!J31</f>
        <v>15089494.349385381</v>
      </c>
      <c r="K31" s="63">
        <f t="shared" si="9"/>
        <v>5</v>
      </c>
      <c r="L31" s="56">
        <f>'Misc Alt Schedule @ 6.5%'!L31+'Safety Alt Schedule @ 6.5%'!L31</f>
        <v>3402182.1942803981</v>
      </c>
      <c r="M31" s="54">
        <f>'Misc Alt Schedule @ 6.5%'!M31+'Safety Alt Schedule @ 6.5%'!M31</f>
        <v>20697545.935903892</v>
      </c>
      <c r="N31" s="63">
        <f t="shared" si="10"/>
        <v>5</v>
      </c>
      <c r="O31" s="55">
        <f>'Misc Alt Schedule @ 6.5%'!O31+'Safety Alt Schedule @ 6.5%'!O31</f>
        <v>4562087.3071565134</v>
      </c>
      <c r="P31" s="419">
        <f t="shared" si="5"/>
        <v>77519922.896987766</v>
      </c>
      <c r="Q31" s="420">
        <f t="shared" si="11"/>
        <v>15</v>
      </c>
      <c r="R31" s="452">
        <f t="shared" si="6"/>
        <v>41080283.947152294</v>
      </c>
      <c r="S31" s="63"/>
      <c r="T31" s="142"/>
      <c r="U31" s="54">
        <f t="shared" si="12"/>
        <v>59953936.966943532</v>
      </c>
      <c r="V31" s="63">
        <f t="shared" si="13"/>
        <v>2</v>
      </c>
      <c r="W31" s="55">
        <f t="shared" si="7"/>
        <v>32204184.220538341</v>
      </c>
      <c r="X31" s="54">
        <f t="shared" si="1"/>
        <v>-36242649.530589238</v>
      </c>
      <c r="Y31" s="63">
        <f t="shared" si="14"/>
        <v>14</v>
      </c>
      <c r="Z31" s="55">
        <f t="shared" si="2"/>
        <v>-8171519.472522147</v>
      </c>
      <c r="AA31" s="54">
        <f>'Misc Alt Schedule @ 6.5%'!P31+'Safety Alt Schedule @ 6.5%'!P31</f>
        <v>6272282.9443217041</v>
      </c>
      <c r="AB31" s="63">
        <f t="shared" si="15"/>
        <v>5</v>
      </c>
      <c r="AC31" s="55">
        <f>'Misc Alt Schedule @ 6.5%'!R31+'Safety Alt Schedule @ 6.5%'!R31</f>
        <v>1382516.6759285505</v>
      </c>
      <c r="AD31" s="54">
        <f>'Misc Alt Schedule @ 6.5%'!S31+'Safety Alt Schedule @ 6.5%'!S31</f>
        <v>6548168.4714883137</v>
      </c>
      <c r="AE31" s="63">
        <f t="shared" si="16"/>
        <v>5</v>
      </c>
      <c r="AF31" s="55">
        <f>'Misc Alt Schedule @ 6.5%'!U31+'Safety Alt Schedule @ 6.5%'!U31</f>
        <v>1443326.4871792491</v>
      </c>
      <c r="AG31" s="54">
        <f>'Misc Alt Schedule @ 6.5%'!V31+'Safety Alt Schedule @ 6.5%'!V31</f>
        <v>13973712.702848352</v>
      </c>
      <c r="AH31" s="63">
        <f t="shared" si="17"/>
        <v>5</v>
      </c>
      <c r="AI31" s="55">
        <f>'Misc Alt Schedule @ 6.5%'!X31+'Safety Alt Schedule @ 6.5%'!X31</f>
        <v>3080041.3514208337</v>
      </c>
      <c r="AJ31" s="54">
        <f>'Misc Alt Schedule @ 6.5%'!Y31+'Safety Alt Schedule @ 6.5%'!Y31</f>
        <v>31837457.064153031</v>
      </c>
      <c r="AK31" s="63">
        <f t="shared" si="18"/>
        <v>5</v>
      </c>
      <c r="AL31" s="55">
        <f>'Misc Alt Schedule @ 6.5%'!AA31+'Safety Alt Schedule @ 6.5%'!AA31</f>
        <v>7017511.1201254576</v>
      </c>
      <c r="AM31" s="56">
        <f>'Misc Alt Schedule @ 6.5%'!AB31+'Safety Alt Schedule @ 6.5%'!AB31</f>
        <v>136151544.07979918</v>
      </c>
      <c r="AN31" s="63">
        <f t="shared" si="19"/>
        <v>5</v>
      </c>
      <c r="AO31" s="297">
        <f>'Misc Alt Schedule @ 6.5%'!AD31+'Safety Alt Schedule @ 6.5%'!AD31</f>
        <v>54003679.581806391</v>
      </c>
      <c r="AP31" s="111"/>
      <c r="AQ31" s="54">
        <f>'Misc Alt Schedule @ 6.5%'!AF31+'Safety Alt Schedule @ 6.5%'!AF31</f>
        <v>168518212.9756155</v>
      </c>
      <c r="AR31" s="63">
        <f t="shared" si="20"/>
        <v>5</v>
      </c>
      <c r="AS31" s="55">
        <f>'Misc Alt Schedule @ 6.5%'!AH31+'Safety Alt Schedule @ 6.5%'!AH31</f>
        <v>39732892.890472561</v>
      </c>
      <c r="BA31" s="216">
        <v>500000</v>
      </c>
    </row>
    <row r="32" spans="1:53" s="50" customFormat="1" x14ac:dyDescent="0.25">
      <c r="A32" s="49">
        <v>17</v>
      </c>
      <c r="B32" s="49">
        <f t="shared" si="3"/>
        <v>2033</v>
      </c>
      <c r="C32" s="49">
        <f t="shared" si="0"/>
        <v>2034</v>
      </c>
      <c r="D32" s="54">
        <f>'Misc Alt Schedule @ 7%'!D32+'Safety Alt Schedule @ 6.5%'!D32</f>
        <v>41015870.767006233</v>
      </c>
      <c r="E32" s="63">
        <f t="shared" si="8"/>
        <v>1</v>
      </c>
      <c r="F32" s="56">
        <f>'Misc Alt Schedule @ 6.5%'!F32+'Safety Alt Schedule @ 6.5%'!F32</f>
        <v>42526159.935784668</v>
      </c>
      <c r="G32" s="54">
        <f>'Misc Alt Schedule @ 6.5%'!G32+'Safety Alt Schedule @ 6.5%'!G32</f>
        <v>-30488436.529906884</v>
      </c>
      <c r="H32" s="63">
        <f t="shared" si="4"/>
        <v>13</v>
      </c>
      <c r="I32" s="55">
        <f>'Misc Alt Schedule @ 6.5%'!I32+'Safety Alt Schedule @ 6.5%'!I32</f>
        <v>-8416665.0566978119</v>
      </c>
      <c r="J32" s="56">
        <f>'Misc Alt Schedule @ 6.5%'!J32+'Safety Alt Schedule @ 6.5%'!J32</f>
        <v>12693748.848337717</v>
      </c>
      <c r="K32" s="63">
        <f t="shared" si="9"/>
        <v>4</v>
      </c>
      <c r="L32" s="56">
        <f>'Misc Alt Schedule @ 6.5%'!L32+'Safety Alt Schedule @ 6.5%'!L32</f>
        <v>3504247.6601088094</v>
      </c>
      <c r="M32" s="54">
        <f>'Misc Alt Schedule @ 6.5%'!M32+'Safety Alt Schedule @ 6.5%'!M32</f>
        <v>17334865.368577808</v>
      </c>
      <c r="N32" s="63">
        <f t="shared" si="10"/>
        <v>4</v>
      </c>
      <c r="O32" s="55">
        <f>'Misc Alt Schedule @ 6.5%'!O32+'Safety Alt Schedule @ 6.5%'!O32</f>
        <v>4698949.9263712075</v>
      </c>
      <c r="P32" s="419">
        <f t="shared" si="5"/>
        <v>40556048.454014875</v>
      </c>
      <c r="Q32" s="420">
        <f t="shared" si="11"/>
        <v>14</v>
      </c>
      <c r="R32" s="452">
        <f t="shared" si="6"/>
        <v>42312692.465566874</v>
      </c>
      <c r="S32" s="63"/>
      <c r="T32" s="142"/>
      <c r="U32" s="54">
        <f t="shared" si="12"/>
        <v>31060473.368416537</v>
      </c>
      <c r="V32" s="63">
        <f t="shared" si="13"/>
        <v>1</v>
      </c>
      <c r="W32" s="55">
        <f t="shared" si="7"/>
        <v>32204184.220538348</v>
      </c>
      <c r="X32" s="54">
        <f t="shared" si="1"/>
        <v>-30488436.529906884</v>
      </c>
      <c r="Y32" s="63">
        <f t="shared" si="14"/>
        <v>13</v>
      </c>
      <c r="Z32" s="55">
        <f t="shared" si="2"/>
        <v>-8416665.0566978119</v>
      </c>
      <c r="AA32" s="54">
        <f>'Misc Alt Schedule @ 6.5%'!P32+'Safety Alt Schedule @ 6.5%'!P32</f>
        <v>5253240.2020102181</v>
      </c>
      <c r="AB32" s="63">
        <f t="shared" si="15"/>
        <v>4</v>
      </c>
      <c r="AC32" s="55">
        <f>'Misc Alt Schedule @ 6.5%'!R32+'Safety Alt Schedule @ 6.5%'!R32</f>
        <v>1423992.1762064067</v>
      </c>
      <c r="AD32" s="54">
        <f>'Misc Alt Schedule @ 6.5%'!S32+'Safety Alt Schedule @ 6.5%'!S32</f>
        <v>5484303.2703267494</v>
      </c>
      <c r="AE32" s="63">
        <f t="shared" si="16"/>
        <v>4</v>
      </c>
      <c r="AF32" s="55">
        <f>'Misc Alt Schedule @ 6.5%'!U32+'Safety Alt Schedule @ 6.5%'!U32</f>
        <v>1486626.281794626</v>
      </c>
      <c r="AG32" s="54">
        <f>'Misc Alt Schedule @ 6.5%'!V32+'Safety Alt Schedule @ 6.5%'!V32</f>
        <v>11703437.168503283</v>
      </c>
      <c r="AH32" s="63">
        <f t="shared" si="17"/>
        <v>4</v>
      </c>
      <c r="AI32" s="55">
        <f>'Misc Alt Schedule @ 6.5%'!X32+'Safety Alt Schedule @ 6.5%'!X32</f>
        <v>3172442.5919634579</v>
      </c>
      <c r="AJ32" s="54">
        <f>'Misc Alt Schedule @ 6.5%'!Y32+'Safety Alt Schedule @ 6.5%'!Y32</f>
        <v>26664901.896779723</v>
      </c>
      <c r="AK32" s="63">
        <f t="shared" si="18"/>
        <v>4</v>
      </c>
      <c r="AL32" s="55">
        <f>'Misc Alt Schedule @ 6.5%'!AA32+'Safety Alt Schedule @ 6.5%'!AA32</f>
        <v>7228036.4537292188</v>
      </c>
      <c r="AM32" s="56">
        <f>'Misc Alt Schedule @ 6.5%'!AB32+'Safety Alt Schedule @ 6.5%'!AB32</f>
        <v>89661930.991634846</v>
      </c>
      <c r="AN32" s="63">
        <f t="shared" si="19"/>
        <v>4</v>
      </c>
      <c r="AO32" s="297">
        <f>'Misc Alt Schedule @ 6.5%'!AD32+'Safety Alt Schedule @ 6.5%'!AD32</f>
        <v>55623789.969260588</v>
      </c>
      <c r="AP32" s="111"/>
      <c r="AQ32" s="54">
        <f>'Misc Alt Schedule @ 6.5%'!AF32+'Safety Alt Schedule @ 6.5%'!AF32</f>
        <v>139214463.89526635</v>
      </c>
      <c r="AR32" s="63">
        <f t="shared" si="20"/>
        <v>4</v>
      </c>
      <c r="AS32" s="55">
        <f>'Misc Alt Schedule @ 6.5%'!AH32+'Safety Alt Schedule @ 6.5%'!AH32</f>
        <v>39732892.890472561</v>
      </c>
      <c r="BA32" s="216">
        <v>500000</v>
      </c>
    </row>
    <row r="33" spans="1:53" s="50" customFormat="1" x14ac:dyDescent="0.25">
      <c r="A33" s="49">
        <v>18</v>
      </c>
      <c r="B33" s="49">
        <f t="shared" si="3"/>
        <v>2034</v>
      </c>
      <c r="C33" s="49">
        <f t="shared" si="0"/>
        <v>2035</v>
      </c>
      <c r="D33" s="54"/>
      <c r="E33" s="63"/>
      <c r="F33" s="56"/>
      <c r="G33" s="54">
        <f>'Misc Alt Schedule @ 6.5%'!G33+'Safety Alt Schedule @ 6.5%'!G33</f>
        <v>-24048485.202709053</v>
      </c>
      <c r="H33" s="63">
        <f t="shared" si="4"/>
        <v>12</v>
      </c>
      <c r="I33" s="55">
        <f>'Misc Alt Schedule @ 6.5%'!I33+'Safety Alt Schedule @ 6.5%'!I33</f>
        <v>-8669165.0083987433</v>
      </c>
      <c r="J33" s="56">
        <f>'Misc Alt Schedule @ 6.5%'!J33+'Safety Alt Schedule @ 6.5%'!J33</f>
        <v>10012498.707393937</v>
      </c>
      <c r="K33" s="63">
        <f t="shared" si="9"/>
        <v>3</v>
      </c>
      <c r="L33" s="56">
        <f>'Misc Alt Schedule @ 6.5%'!L33+'Safety Alt Schedule @ 6.5%'!L33</f>
        <v>3609375.0899120737</v>
      </c>
      <c r="M33" s="54">
        <f>'Misc Alt Schedule @ 6.5%'!M33+'Safety Alt Schedule @ 6.5%'!M33</f>
        <v>13612369.932780728</v>
      </c>
      <c r="N33" s="63">
        <f t="shared" si="10"/>
        <v>3</v>
      </c>
      <c r="O33" s="55">
        <f>'Misc Alt Schedule @ 6.5%'!O33+'Safety Alt Schedule @ 6.5%'!O33</f>
        <v>4839918.4241623431</v>
      </c>
      <c r="P33" s="419">
        <f t="shared" si="5"/>
        <v>-423616.56253438815</v>
      </c>
      <c r="Q33" s="420">
        <f t="shared" si="11"/>
        <v>13</v>
      </c>
      <c r="R33" s="452">
        <f t="shared" si="6"/>
        <v>-219871.49432432652</v>
      </c>
      <c r="S33" s="63"/>
      <c r="T33" s="142"/>
      <c r="U33" s="54">
        <f t="shared" si="12"/>
        <v>0</v>
      </c>
      <c r="V33" s="63">
        <f t="shared" si="13"/>
        <v>0</v>
      </c>
      <c r="W33" s="55">
        <v>0</v>
      </c>
      <c r="X33" s="54">
        <f t="shared" si="1"/>
        <v>-24048485.202709053</v>
      </c>
      <c r="Y33" s="63">
        <f t="shared" si="14"/>
        <v>12</v>
      </c>
      <c r="Z33" s="55">
        <f t="shared" si="2"/>
        <v>-8669165.0083987433</v>
      </c>
      <c r="AA33" s="54">
        <f>'Misc Alt Schedule @ 6.5%'!P33+'Safety Alt Schedule @ 6.5%'!P33</f>
        <v>4125157.4474377148</v>
      </c>
      <c r="AB33" s="63">
        <f t="shared" si="15"/>
        <v>3</v>
      </c>
      <c r="AC33" s="55">
        <f>'Misc Alt Schedule @ 6.5%'!R33+'Safety Alt Schedule @ 6.5%'!R33</f>
        <v>1466711.941492599</v>
      </c>
      <c r="AD33" s="54">
        <f>'Misc Alt Schedule @ 6.5%'!S33+'Safety Alt Schedule @ 6.5%'!S33</f>
        <v>4306601.9465354346</v>
      </c>
      <c r="AE33" s="63">
        <f t="shared" si="16"/>
        <v>3</v>
      </c>
      <c r="AF33" s="55">
        <f>'Misc Alt Schedule @ 6.5%'!U33+'Safety Alt Schedule @ 6.5%'!U33</f>
        <v>1531225.0702484646</v>
      </c>
      <c r="AG33" s="54">
        <f>'Misc Alt Schedule @ 6.5%'!V33+'Safety Alt Schedule @ 6.5%'!V33</f>
        <v>9190236.7186248787</v>
      </c>
      <c r="AH33" s="63">
        <f t="shared" si="17"/>
        <v>3</v>
      </c>
      <c r="AI33" s="55">
        <f>'Misc Alt Schedule @ 6.5%'!X33+'Safety Alt Schedule @ 6.5%'!X33</f>
        <v>3267615.8697223617</v>
      </c>
      <c r="AJ33" s="54">
        <f>'Misc Alt Schedule @ 6.5%'!Y33+'Safety Alt Schedule @ 6.5%'!Y33</f>
        <v>20938870.947230857</v>
      </c>
      <c r="AK33" s="63">
        <f t="shared" si="18"/>
        <v>3</v>
      </c>
      <c r="AL33" s="55">
        <f>'Misc Alt Schedule @ 6.5%'!AA33+'Safety Alt Schedule @ 6.5%'!AA33</f>
        <v>7444877.5473410934</v>
      </c>
      <c r="AM33" s="56">
        <f>'Misc Alt Schedule @ 6.5%'!AB33+'Safety Alt Schedule @ 6.5%'!AB33</f>
        <v>38137250.4972945</v>
      </c>
      <c r="AN33" s="63">
        <f t="shared" si="19"/>
        <v>3</v>
      </c>
      <c r="AO33" s="297">
        <f>'Misc Alt Schedule @ 6.5%'!AD33+'Safety Alt Schedule @ 6.5%'!AD33</f>
        <v>13490558.93448019</v>
      </c>
      <c r="AP33" s="111"/>
      <c r="AQ33" s="54">
        <f>'Misc Alt Schedule @ 6.5%'!AF33+'Safety Alt Schedule @ 6.5%'!AF33</f>
        <v>107859452.37929279</v>
      </c>
      <c r="AR33" s="63">
        <f t="shared" si="20"/>
        <v>3</v>
      </c>
      <c r="AS33" s="55">
        <f>'Misc Alt Schedule @ 6.5%'!AH33+'Safety Alt Schedule @ 6.5%'!AH33</f>
        <v>39732892.890472576</v>
      </c>
      <c r="BA33" s="216">
        <v>500000</v>
      </c>
    </row>
    <row r="34" spans="1:53" s="50" customFormat="1" x14ac:dyDescent="0.25">
      <c r="A34" s="49">
        <v>19</v>
      </c>
      <c r="B34" s="49">
        <f t="shared" si="3"/>
        <v>2035</v>
      </c>
      <c r="C34" s="49">
        <f t="shared" si="0"/>
        <v>2036</v>
      </c>
      <c r="D34" s="54"/>
      <c r="E34" s="63"/>
      <c r="F34" s="56"/>
      <c r="G34" s="54">
        <f>'Misc Alt Schedule @ 6.5%'!G34+'Safety Alt Schedule @ 6.5%'!G34</f>
        <v>-16863740.003963165</v>
      </c>
      <c r="H34" s="63">
        <f t="shared" si="4"/>
        <v>11</v>
      </c>
      <c r="I34" s="55">
        <f>'Misc Alt Schedule @ 6.5%'!I34+'Safety Alt Schedule @ 6.5%'!I34</f>
        <v>-8929239.9586507082</v>
      </c>
      <c r="J34" s="56">
        <f>'Misc Alt Schedule @ 6.5%'!J34+'Safety Alt Schedule @ 6.5%'!J34</f>
        <v>7021156.3667422961</v>
      </c>
      <c r="K34" s="63">
        <f t="shared" si="9"/>
        <v>2</v>
      </c>
      <c r="L34" s="56">
        <f>'Misc Alt Schedule @ 6.5%'!L34+'Safety Alt Schedule @ 6.5%'!L34</f>
        <v>3717656.3426094363</v>
      </c>
      <c r="M34" s="54">
        <f>'Misc Alt Schedule @ 6.5%'!M34+'Safety Alt Schedule @ 6.5%'!M34</f>
        <v>9502434.4431142062</v>
      </c>
      <c r="N34" s="63">
        <f t="shared" si="10"/>
        <v>2</v>
      </c>
      <c r="O34" s="55">
        <f>'Misc Alt Schedule @ 6.5%'!O34+'Safety Alt Schedule @ 6.5%'!O34</f>
        <v>4985115.9768872131</v>
      </c>
      <c r="P34" s="419">
        <f t="shared" si="5"/>
        <v>-340149.19410666265</v>
      </c>
      <c r="Q34" s="420">
        <f t="shared" si="11"/>
        <v>12</v>
      </c>
      <c r="R34" s="452">
        <f t="shared" si="6"/>
        <v>-226467.63915405888</v>
      </c>
      <c r="S34" s="63"/>
      <c r="T34" s="142"/>
      <c r="U34" s="54">
        <f t="shared" si="12"/>
        <v>0</v>
      </c>
      <c r="V34" s="63">
        <f t="shared" si="13"/>
        <v>-1</v>
      </c>
      <c r="W34" s="55">
        <f t="shared" si="7"/>
        <v>0</v>
      </c>
      <c r="X34" s="54">
        <f t="shared" si="1"/>
        <v>-16863740.003963165</v>
      </c>
      <c r="Y34" s="63">
        <f t="shared" si="14"/>
        <v>11</v>
      </c>
      <c r="Z34" s="55">
        <f t="shared" si="2"/>
        <v>-8929239.9586507082</v>
      </c>
      <c r="AA34" s="54">
        <f>'Misc Alt Schedule @ 6.5%'!P34+'Safety Alt Schedule @ 6.5%'!P34</f>
        <v>2879663.0127869034</v>
      </c>
      <c r="AB34" s="63">
        <f t="shared" si="15"/>
        <v>2</v>
      </c>
      <c r="AC34" s="55">
        <f>'Misc Alt Schedule @ 6.5%'!R34+'Safety Alt Schedule @ 6.5%'!R34</f>
        <v>1510713.2997373764</v>
      </c>
      <c r="AD34" s="54">
        <f>'Misc Alt Schedule @ 6.5%'!S34+'Safety Alt Schedule @ 6.5%'!S34</f>
        <v>3006324.6056068069</v>
      </c>
      <c r="AE34" s="63">
        <f t="shared" si="16"/>
        <v>2</v>
      </c>
      <c r="AF34" s="55">
        <f>'Misc Alt Schedule @ 6.5%'!U34+'Safety Alt Schedule @ 6.5%'!U34</f>
        <v>1577161.8223559179</v>
      </c>
      <c r="AG34" s="54">
        <f>'Misc Alt Schedule @ 6.5%'!V34+'Safety Alt Schedule @ 6.5%'!V34</f>
        <v>6415460.523529443</v>
      </c>
      <c r="AH34" s="63">
        <f t="shared" si="17"/>
        <v>2</v>
      </c>
      <c r="AI34" s="55">
        <f>'Misc Alt Schedule @ 6.5%'!X34+'Safety Alt Schedule @ 6.5%'!X34</f>
        <v>3365644.3458140315</v>
      </c>
      <c r="AJ34" s="54">
        <f>'Misc Alt Schedule @ 6.5%'!Y34+'Safety Alt Schedule @ 6.5%'!Y34</f>
        <v>14616870.49877613</v>
      </c>
      <c r="AK34" s="63">
        <f t="shared" si="18"/>
        <v>2</v>
      </c>
      <c r="AL34" s="55">
        <f>'Misc Alt Schedule @ 6.5%'!AA34+'Safety Alt Schedule @ 6.5%'!AA34</f>
        <v>7668223.8737613242</v>
      </c>
      <c r="AM34" s="56">
        <f>'Misc Alt Schedule @ 6.5%'!AB34+'Safety Alt Schedule @ 6.5%'!AB34</f>
        <v>26578169.446592622</v>
      </c>
      <c r="AN34" s="63">
        <f t="shared" si="19"/>
        <v>2</v>
      </c>
      <c r="AO34" s="297">
        <f>'Misc Alt Schedule @ 6.5%'!AD34+'Safety Alt Schedule @ 6.5%'!AD34</f>
        <v>13895275.702514591</v>
      </c>
      <c r="AP34" s="111"/>
      <c r="AQ34" s="54">
        <f>'Misc Alt Schedule @ 6.5%'!AF34+'Safety Alt Schedule @ 6.5%'!AF34</f>
        <v>74309590.057201028</v>
      </c>
      <c r="AR34" s="63">
        <f t="shared" si="20"/>
        <v>2</v>
      </c>
      <c r="AS34" s="55">
        <f>'Misc Alt Schedule @ 6.5%'!AH34+'Safety Alt Schedule @ 6.5%'!AH34</f>
        <v>39732892.890472569</v>
      </c>
      <c r="BA34" s="216">
        <v>500000</v>
      </c>
    </row>
    <row r="35" spans="1:53" s="50" customFormat="1" x14ac:dyDescent="0.25">
      <c r="A35" s="49">
        <v>20</v>
      </c>
      <c r="B35" s="49">
        <f t="shared" si="3"/>
        <v>2036</v>
      </c>
      <c r="C35" s="49">
        <f t="shared" si="0"/>
        <v>2037</v>
      </c>
      <c r="D35" s="54"/>
      <c r="E35" s="63"/>
      <c r="F35" s="56"/>
      <c r="G35" s="54">
        <f>'Misc Alt Schedule @ 6.5%'!G35+'Safety Alt Schedule @ 6.5%'!G35</f>
        <v>-8870487.4676428586</v>
      </c>
      <c r="H35" s="63">
        <f t="shared" si="4"/>
        <v>10</v>
      </c>
      <c r="I35" s="55">
        <f>'Misc Alt Schedule @ 6.5%'!I35+'Safety Alt Schedule @ 6.5%'!I35</f>
        <v>-9197117.1574102305</v>
      </c>
      <c r="J35" s="56">
        <f>'Misc Alt Schedule @ 6.5%'!J35+'Safety Alt Schedule @ 6.5%'!J35</f>
        <v>3693194.9582305988</v>
      </c>
      <c r="K35" s="63">
        <f t="shared" si="9"/>
        <v>1</v>
      </c>
      <c r="L35" s="56">
        <f>'Misc Alt Schedule @ 6.5%'!L35+'Safety Alt Schedule @ 6.5%'!L35</f>
        <v>3829186.0328877205</v>
      </c>
      <c r="M35" s="54">
        <f>'Misc Alt Schedule @ 6.5%'!M35+'Safety Alt Schedule @ 6.5%'!M35</f>
        <v>4975510.9605604392</v>
      </c>
      <c r="N35" s="63">
        <f t="shared" si="10"/>
        <v>1</v>
      </c>
      <c r="O35" s="55">
        <f>'Misc Alt Schedule @ 6.5%'!O35+'Safety Alt Schedule @ 6.5%'!O35</f>
        <v>5134669.4561938262</v>
      </c>
      <c r="P35" s="419">
        <f t="shared" si="5"/>
        <v>-201781.54885182064</v>
      </c>
      <c r="Q35" s="420">
        <f t="shared" si="11"/>
        <v>11</v>
      </c>
      <c r="R35" s="452">
        <f t="shared" si="6"/>
        <v>-233261.66832868382</v>
      </c>
      <c r="S35" s="63"/>
      <c r="T35" s="142"/>
      <c r="U35" s="54">
        <f t="shared" si="12"/>
        <v>0</v>
      </c>
      <c r="V35" s="63">
        <f t="shared" si="13"/>
        <v>-2</v>
      </c>
      <c r="W35" s="55">
        <f t="shared" si="7"/>
        <v>0</v>
      </c>
      <c r="X35" s="54">
        <f t="shared" si="1"/>
        <v>-8870487.4676428586</v>
      </c>
      <c r="Y35" s="63">
        <f t="shared" si="14"/>
        <v>10</v>
      </c>
      <c r="Z35" s="55">
        <f t="shared" si="2"/>
        <v>-9197117.1574102305</v>
      </c>
      <c r="AA35" s="54">
        <f>'Misc Alt Schedule @ 6.5%'!P35+'Safety Alt Schedule @ 6.5%'!P35</f>
        <v>1507802.5498217619</v>
      </c>
      <c r="AB35" s="63">
        <f t="shared" si="15"/>
        <v>1</v>
      </c>
      <c r="AC35" s="55">
        <f>'Misc Alt Schedule @ 6.5%'!R35+'Safety Alt Schedule @ 6.5%'!R35</f>
        <v>1556034.6987294964</v>
      </c>
      <c r="AD35" s="54">
        <f>'Misc Alt Schedule @ 6.5%'!S35+'Safety Alt Schedule @ 6.5%'!S35</f>
        <v>1574123.0434942171</v>
      </c>
      <c r="AE35" s="63">
        <f t="shared" si="16"/>
        <v>1</v>
      </c>
      <c r="AF35" s="55">
        <f>'Misc Alt Schedule @ 6.5%'!U35+'Safety Alt Schedule @ 6.5%'!U35</f>
        <v>1624476.6770265945</v>
      </c>
      <c r="AG35" s="54">
        <f>'Misc Alt Schedule @ 6.5%'!V35+'Safety Alt Schedule @ 6.5%'!V35</f>
        <v>3359159.6282986249</v>
      </c>
      <c r="AH35" s="63">
        <f t="shared" si="17"/>
        <v>1</v>
      </c>
      <c r="AI35" s="55">
        <f>'Misc Alt Schedule @ 6.5%'!X35+'Safety Alt Schedule @ 6.5%'!X35</f>
        <v>3466613.6761884508</v>
      </c>
      <c r="AJ35" s="54">
        <f>'Misc Alt Schedule @ 6.5%'!Y35+'Safety Alt Schedule @ 6.5%'!Y35</f>
        <v>7653449.2093711048</v>
      </c>
      <c r="AK35" s="63">
        <f t="shared" si="18"/>
        <v>1</v>
      </c>
      <c r="AL35" s="55">
        <f>'Misc Alt Schedule @ 6.5%'!AA35+'Safety Alt Schedule @ 6.5%'!AA35</f>
        <v>7898270.5899741594</v>
      </c>
      <c r="AM35" s="56">
        <f>'Misc Alt Schedule @ 6.5%'!AB35+'Safety Alt Schedule @ 6.5%'!AB35</f>
        <v>13892752.882133888</v>
      </c>
      <c r="AN35" s="63">
        <f t="shared" si="19"/>
        <v>1</v>
      </c>
      <c r="AO35" s="297">
        <f>'Misc Alt Schedule @ 6.5%'!AD35+'Safety Alt Schedule @ 6.5%'!AD35</f>
        <v>14312133.973590016</v>
      </c>
      <c r="AP35" s="111"/>
      <c r="AQ35" s="54">
        <f>'Misc Alt Schedule @ 6.5%'!AF35+'Safety Alt Schedule @ 6.5%'!AF35</f>
        <v>38411237.372562841</v>
      </c>
      <c r="AR35" s="63">
        <f t="shared" si="20"/>
        <v>1</v>
      </c>
      <c r="AS35" s="55">
        <f>'Misc Alt Schedule @ 6.5%'!AH35+'Safety Alt Schedule @ 6.5%'!AH35</f>
        <v>39732892.890472554</v>
      </c>
      <c r="BA35" s="216">
        <v>500000</v>
      </c>
    </row>
    <row r="36" spans="1:53" s="50" customFormat="1" x14ac:dyDescent="0.25">
      <c r="A36" s="49">
        <v>21</v>
      </c>
      <c r="B36" s="49">
        <f t="shared" si="3"/>
        <v>2037</v>
      </c>
      <c r="C36" s="49">
        <f t="shared" si="0"/>
        <v>2038</v>
      </c>
      <c r="D36" s="54"/>
      <c r="E36" s="63"/>
      <c r="F36" s="56"/>
      <c r="G36" s="54">
        <f>'Misc Alt Schedule @ 6.5%'!G36+'Safety Alt Schedule @ 6.5%'!G36</f>
        <v>0</v>
      </c>
      <c r="H36" s="63">
        <f t="shared" si="4"/>
        <v>9</v>
      </c>
      <c r="I36" s="55">
        <f>'Misc Alt Schedule @ 6.5%'!I36+'Safety Alt Schedule @ 6.5%'!I36</f>
        <v>0</v>
      </c>
      <c r="J36" s="56"/>
      <c r="K36" s="63"/>
      <c r="L36" s="56"/>
      <c r="M36" s="54"/>
      <c r="N36" s="63"/>
      <c r="O36" s="55"/>
      <c r="P36" s="419">
        <f t="shared" si="5"/>
        <v>0</v>
      </c>
      <c r="Q36" s="420">
        <f t="shared" si="11"/>
        <v>10</v>
      </c>
      <c r="R36" s="452">
        <f t="shared" si="6"/>
        <v>0</v>
      </c>
      <c r="S36" s="63"/>
      <c r="T36" s="142"/>
      <c r="U36" s="54">
        <f t="shared" si="12"/>
        <v>0</v>
      </c>
      <c r="V36" s="63">
        <f t="shared" si="13"/>
        <v>-3</v>
      </c>
      <c r="W36" s="55">
        <v>0</v>
      </c>
      <c r="X36" s="54">
        <f t="shared" si="1"/>
        <v>0</v>
      </c>
      <c r="Y36" s="63">
        <f t="shared" si="14"/>
        <v>9</v>
      </c>
      <c r="Z36" s="55">
        <f t="shared" si="2"/>
        <v>0</v>
      </c>
      <c r="AA36" s="54"/>
      <c r="AB36" s="63"/>
      <c r="AC36" s="55"/>
      <c r="AD36" s="54">
        <f>'Misc Alt Schedule @ 6.5%'!S36+'Safety Alt Schedule @ 6.5%'!S36</f>
        <v>0</v>
      </c>
      <c r="AE36" s="63"/>
      <c r="AF36" s="55"/>
      <c r="AG36" s="54"/>
      <c r="AH36" s="63"/>
      <c r="AI36" s="55"/>
      <c r="AJ36" s="54"/>
      <c r="AK36" s="63"/>
      <c r="AL36" s="55"/>
      <c r="AM36" s="56">
        <f>'Misc Alt Schedule @ 6.5%'!AB36+'Safety Alt Schedule @ 6.5%'!AB36</f>
        <v>0</v>
      </c>
      <c r="AN36" s="63">
        <f t="shared" si="19"/>
        <v>0</v>
      </c>
      <c r="AO36" s="297">
        <f>'Misc Alt Schedule @ 6.5%'!AD36+'Safety Alt Schedule @ 6.5%'!AD36</f>
        <v>0</v>
      </c>
      <c r="AP36" s="111"/>
      <c r="AQ36" s="54"/>
      <c r="AR36" s="430"/>
      <c r="AS36" s="431"/>
      <c r="BA36" s="216">
        <v>500000</v>
      </c>
    </row>
    <row r="37" spans="1:53" s="50" customFormat="1" x14ac:dyDescent="0.25">
      <c r="A37" s="49">
        <v>22</v>
      </c>
      <c r="B37" s="49">
        <f t="shared" si="3"/>
        <v>2038</v>
      </c>
      <c r="C37" s="49">
        <f t="shared" si="0"/>
        <v>2039</v>
      </c>
      <c r="D37" s="54"/>
      <c r="E37" s="63"/>
      <c r="F37" s="56"/>
      <c r="G37" s="54">
        <f>'Misc Alt Schedule @ 6.5%'!G37+'Safety Alt Schedule @ 6.5%'!G37</f>
        <v>0</v>
      </c>
      <c r="H37" s="63">
        <f t="shared" si="4"/>
        <v>8</v>
      </c>
      <c r="I37" s="55">
        <f>'Misc Alt Schedule @ 6.5%'!I37+'Safety Alt Schedule @ 6.5%'!I37</f>
        <v>0</v>
      </c>
      <c r="J37" s="56"/>
      <c r="K37" s="63"/>
      <c r="L37" s="56"/>
      <c r="M37" s="54"/>
      <c r="N37" s="63"/>
      <c r="O37" s="55"/>
      <c r="P37" s="419">
        <f t="shared" si="5"/>
        <v>0</v>
      </c>
      <c r="Q37" s="420">
        <f t="shared" si="11"/>
        <v>9</v>
      </c>
      <c r="R37" s="452">
        <f t="shared" si="6"/>
        <v>0</v>
      </c>
      <c r="S37" s="63"/>
      <c r="T37" s="142"/>
      <c r="U37" s="361"/>
      <c r="V37" s="63"/>
      <c r="W37" s="55"/>
      <c r="X37" s="54">
        <f t="shared" si="1"/>
        <v>0</v>
      </c>
      <c r="Y37" s="63">
        <f t="shared" si="14"/>
        <v>8</v>
      </c>
      <c r="Z37" s="55">
        <f t="shared" si="2"/>
        <v>0</v>
      </c>
      <c r="AA37" s="54"/>
      <c r="AB37" s="63"/>
      <c r="AC37" s="55"/>
      <c r="AD37" s="54"/>
      <c r="AE37" s="63"/>
      <c r="AF37" s="55"/>
      <c r="AG37" s="54"/>
      <c r="AH37" s="63"/>
      <c r="AI37" s="55"/>
      <c r="AJ37" s="54"/>
      <c r="AK37" s="63"/>
      <c r="AL37" s="55"/>
      <c r="AM37" s="56">
        <f>'Misc Alt Schedule @ 6.5%'!AB37+'Safety Alt Schedule @ 6.5%'!AB37</f>
        <v>0</v>
      </c>
      <c r="AN37" s="63">
        <f t="shared" si="19"/>
        <v>-1</v>
      </c>
      <c r="AO37" s="297">
        <f>'Misc Alt Schedule @ 6.5%'!AD37+'Safety Alt Schedule @ 6.5%'!AD37</f>
        <v>0</v>
      </c>
      <c r="AP37" s="111"/>
      <c r="AQ37" s="54"/>
      <c r="AR37" s="430"/>
      <c r="AS37" s="431"/>
      <c r="BA37" s="216">
        <v>500000</v>
      </c>
    </row>
    <row r="38" spans="1:53" s="50" customFormat="1" x14ac:dyDescent="0.25">
      <c r="A38" s="49">
        <v>23</v>
      </c>
      <c r="B38" s="49">
        <f t="shared" si="3"/>
        <v>2039</v>
      </c>
      <c r="C38" s="49">
        <f t="shared" si="0"/>
        <v>2040</v>
      </c>
      <c r="D38" s="54"/>
      <c r="E38" s="63"/>
      <c r="F38" s="56"/>
      <c r="G38" s="54">
        <f>'Misc Alt Schedule @ 6.5%'!G38+'Safety Alt Schedule @ 6.5%'!G38</f>
        <v>0</v>
      </c>
      <c r="H38" s="63">
        <f t="shared" si="4"/>
        <v>7</v>
      </c>
      <c r="I38" s="55">
        <f>'Misc Alt Schedule @ 6.5%'!I38+'Safety Alt Schedule @ 6.5%'!I38</f>
        <v>0</v>
      </c>
      <c r="J38" s="56"/>
      <c r="K38" s="63"/>
      <c r="L38" s="56"/>
      <c r="M38" s="54"/>
      <c r="N38" s="63"/>
      <c r="O38" s="55"/>
      <c r="P38" s="419">
        <f t="shared" si="5"/>
        <v>0</v>
      </c>
      <c r="Q38" s="420">
        <f t="shared" si="11"/>
        <v>8</v>
      </c>
      <c r="R38" s="452">
        <f t="shared" si="6"/>
        <v>0</v>
      </c>
      <c r="S38" s="63"/>
      <c r="T38" s="142"/>
      <c r="U38" s="361"/>
      <c r="V38" s="63"/>
      <c r="W38" s="55"/>
      <c r="X38" s="54">
        <f t="shared" si="1"/>
        <v>0</v>
      </c>
      <c r="Y38" s="63">
        <f t="shared" si="14"/>
        <v>7</v>
      </c>
      <c r="Z38" s="55">
        <f t="shared" si="2"/>
        <v>0</v>
      </c>
      <c r="AA38" s="54"/>
      <c r="AB38" s="63"/>
      <c r="AC38" s="55"/>
      <c r="AD38" s="54"/>
      <c r="AE38" s="63"/>
      <c r="AF38" s="55"/>
      <c r="AG38" s="54"/>
      <c r="AH38" s="63"/>
      <c r="AI38" s="55"/>
      <c r="AJ38" s="54"/>
      <c r="AK38" s="63"/>
      <c r="AL38" s="55"/>
      <c r="AM38" s="56">
        <f>'Misc Alt Schedule @ 6.5%'!AB38+'Safety Alt Schedule @ 6.5%'!AB38</f>
        <v>0</v>
      </c>
      <c r="AN38" s="63">
        <f t="shared" si="19"/>
        <v>-2</v>
      </c>
      <c r="AO38" s="297">
        <f>'Misc Alt Schedule @ 6.5%'!AD38+'Safety Alt Schedule @ 6.5%'!AD38</f>
        <v>0</v>
      </c>
      <c r="AP38" s="111"/>
      <c r="AQ38" s="54"/>
      <c r="AR38" s="430"/>
      <c r="AS38" s="431"/>
      <c r="BA38" s="216">
        <v>500000</v>
      </c>
    </row>
    <row r="39" spans="1:53" s="50" customFormat="1" x14ac:dyDescent="0.25">
      <c r="A39" s="49">
        <v>24</v>
      </c>
      <c r="B39" s="49">
        <f t="shared" si="3"/>
        <v>2040</v>
      </c>
      <c r="C39" s="49">
        <f t="shared" si="0"/>
        <v>2041</v>
      </c>
      <c r="D39" s="54"/>
      <c r="E39" s="63"/>
      <c r="F39" s="56"/>
      <c r="G39" s="54">
        <f>'Misc Alt Schedule @ 6.5%'!G39+'Safety Alt Schedule @ 6.5%'!G39</f>
        <v>0</v>
      </c>
      <c r="H39" s="63">
        <f t="shared" si="4"/>
        <v>6</v>
      </c>
      <c r="I39" s="55">
        <f>'Misc Alt Schedule @ 6.5%'!I39+'Safety Alt Schedule @ 6.5%'!I39</f>
        <v>0</v>
      </c>
      <c r="J39" s="56"/>
      <c r="K39" s="63"/>
      <c r="L39" s="56"/>
      <c r="M39" s="54"/>
      <c r="N39" s="63"/>
      <c r="O39" s="55"/>
      <c r="P39" s="419">
        <f t="shared" si="5"/>
        <v>0</v>
      </c>
      <c r="Q39" s="420">
        <f t="shared" si="11"/>
        <v>7</v>
      </c>
      <c r="R39" s="452">
        <f t="shared" si="6"/>
        <v>0</v>
      </c>
      <c r="S39" s="63"/>
      <c r="T39" s="142"/>
      <c r="U39" s="361"/>
      <c r="V39" s="63"/>
      <c r="W39" s="55"/>
      <c r="X39" s="54">
        <f t="shared" si="1"/>
        <v>0</v>
      </c>
      <c r="Y39" s="63">
        <f t="shared" si="14"/>
        <v>6</v>
      </c>
      <c r="Z39" s="55">
        <f t="shared" si="2"/>
        <v>0</v>
      </c>
      <c r="AA39" s="54"/>
      <c r="AB39" s="63"/>
      <c r="AC39" s="55"/>
      <c r="AD39" s="54"/>
      <c r="AE39" s="63"/>
      <c r="AF39" s="55"/>
      <c r="AG39" s="54"/>
      <c r="AH39" s="63"/>
      <c r="AI39" s="55"/>
      <c r="AJ39" s="54"/>
      <c r="AK39" s="63"/>
      <c r="AL39" s="55"/>
      <c r="AM39" s="56">
        <f>'Misc Alt Schedule @ 6.5%'!AB39+'Safety Alt Schedule @ 6.5%'!AB39</f>
        <v>0</v>
      </c>
      <c r="AN39" s="63">
        <f t="shared" si="19"/>
        <v>-3</v>
      </c>
      <c r="AO39" s="297">
        <f>'Misc Alt Schedule @ 6.5%'!AD39+'Safety Alt Schedule @ 6.5%'!AD39</f>
        <v>0</v>
      </c>
      <c r="AP39" s="111"/>
      <c r="AQ39" s="54"/>
      <c r="AR39" s="430"/>
      <c r="AS39" s="431"/>
      <c r="BA39" s="216">
        <v>500000</v>
      </c>
    </row>
    <row r="40" spans="1:53" s="50" customFormat="1" x14ac:dyDescent="0.25">
      <c r="A40" s="49">
        <v>25</v>
      </c>
      <c r="B40" s="49">
        <f t="shared" si="3"/>
        <v>2041</v>
      </c>
      <c r="C40" s="49">
        <f t="shared" si="0"/>
        <v>2042</v>
      </c>
      <c r="D40" s="54"/>
      <c r="E40" s="63"/>
      <c r="F40" s="56"/>
      <c r="G40" s="54">
        <f>'Misc Alt Schedule @ 6.5%'!G40+'Safety Alt Schedule @ 6.5%'!G40</f>
        <v>0</v>
      </c>
      <c r="H40" s="63">
        <f t="shared" si="4"/>
        <v>5</v>
      </c>
      <c r="I40" s="55">
        <f>'Misc Alt Schedule @ 6.5%'!I40+'Safety Alt Schedule @ 6.5%'!I40</f>
        <v>0</v>
      </c>
      <c r="J40" s="56"/>
      <c r="K40" s="63"/>
      <c r="L40" s="56"/>
      <c r="M40" s="54"/>
      <c r="N40" s="63"/>
      <c r="O40" s="55"/>
      <c r="P40" s="419">
        <f t="shared" si="5"/>
        <v>0</v>
      </c>
      <c r="Q40" s="420">
        <f t="shared" si="11"/>
        <v>6</v>
      </c>
      <c r="R40" s="452">
        <f t="shared" si="6"/>
        <v>0</v>
      </c>
      <c r="S40" s="63"/>
      <c r="T40" s="142"/>
      <c r="U40" s="361"/>
      <c r="V40" s="63"/>
      <c r="W40" s="55"/>
      <c r="X40" s="54">
        <f t="shared" si="1"/>
        <v>0</v>
      </c>
      <c r="Y40" s="63">
        <f t="shared" si="14"/>
        <v>5</v>
      </c>
      <c r="Z40" s="55">
        <f t="shared" si="2"/>
        <v>0</v>
      </c>
      <c r="AA40" s="54"/>
      <c r="AB40" s="63"/>
      <c r="AC40" s="55"/>
      <c r="AD40" s="54"/>
      <c r="AE40" s="63"/>
      <c r="AF40" s="55"/>
      <c r="AG40" s="54"/>
      <c r="AH40" s="63"/>
      <c r="AI40" s="55"/>
      <c r="AJ40" s="54"/>
      <c r="AK40" s="63"/>
      <c r="AL40" s="55"/>
      <c r="AM40" s="56">
        <f>'Misc Alt Schedule @ 6.5%'!AB40+'Safety Alt Schedule @ 6.5%'!AB40</f>
        <v>0</v>
      </c>
      <c r="AN40" s="63">
        <f t="shared" si="19"/>
        <v>-4</v>
      </c>
      <c r="AO40" s="297">
        <f>'Misc Alt Schedule @ 6.5%'!AD40+'Safety Alt Schedule @ 6.5%'!AD40</f>
        <v>0</v>
      </c>
      <c r="AP40" s="111"/>
      <c r="AQ40" s="54"/>
      <c r="AR40" s="430"/>
      <c r="AS40" s="431"/>
      <c r="BA40" s="216">
        <v>500000</v>
      </c>
    </row>
    <row r="41" spans="1:53" s="50" customFormat="1" x14ac:dyDescent="0.25">
      <c r="A41" s="49">
        <v>26</v>
      </c>
      <c r="B41" s="49">
        <f t="shared" si="3"/>
        <v>2042</v>
      </c>
      <c r="C41" s="49">
        <f t="shared" si="0"/>
        <v>2043</v>
      </c>
      <c r="D41" s="54"/>
      <c r="E41" s="63"/>
      <c r="F41" s="56"/>
      <c r="G41" s="54">
        <f>'Misc Alt Schedule @ 6.5%'!G41+'Safety Alt Schedule @ 6.5%'!G41</f>
        <v>0</v>
      </c>
      <c r="H41" s="63">
        <f t="shared" si="4"/>
        <v>4</v>
      </c>
      <c r="I41" s="55">
        <f>'Misc Alt Schedule @ 6.5%'!I41+'Safety Alt Schedule @ 6.5%'!I41</f>
        <v>0</v>
      </c>
      <c r="J41" s="56"/>
      <c r="K41" s="63"/>
      <c r="L41" s="56"/>
      <c r="M41" s="54"/>
      <c r="N41" s="63"/>
      <c r="O41" s="55"/>
      <c r="P41" s="419">
        <f t="shared" si="5"/>
        <v>0</v>
      </c>
      <c r="Q41" s="420">
        <f t="shared" si="11"/>
        <v>5</v>
      </c>
      <c r="R41" s="452">
        <f t="shared" si="6"/>
        <v>0</v>
      </c>
      <c r="S41" s="63"/>
      <c r="T41" s="142"/>
      <c r="U41" s="361"/>
      <c r="V41" s="63"/>
      <c r="W41" s="55"/>
      <c r="X41" s="54">
        <f t="shared" si="1"/>
        <v>0</v>
      </c>
      <c r="Y41" s="63">
        <f t="shared" si="14"/>
        <v>4</v>
      </c>
      <c r="Z41" s="55">
        <f t="shared" si="2"/>
        <v>0</v>
      </c>
      <c r="AA41" s="54"/>
      <c r="AB41" s="63"/>
      <c r="AC41" s="55"/>
      <c r="AD41" s="54"/>
      <c r="AE41" s="63"/>
      <c r="AF41" s="55"/>
      <c r="AG41" s="54"/>
      <c r="AH41" s="63"/>
      <c r="AI41" s="55"/>
      <c r="AJ41" s="54"/>
      <c r="AK41" s="63"/>
      <c r="AL41" s="55"/>
      <c r="AM41" s="56">
        <f>'Misc Alt Schedule @ 6.5%'!AB41+'Safety Alt Schedule @ 6.5%'!AB41</f>
        <v>0</v>
      </c>
      <c r="AN41" s="63">
        <f t="shared" si="19"/>
        <v>-5</v>
      </c>
      <c r="AO41" s="297">
        <f>'Misc Alt Schedule @ 6.5%'!AD41+'Safety Alt Schedule @ 6.5%'!AD41</f>
        <v>0</v>
      </c>
      <c r="AP41" s="111"/>
      <c r="AQ41" s="54"/>
      <c r="AR41" s="430"/>
      <c r="AS41" s="431"/>
      <c r="BA41" s="216">
        <v>500000</v>
      </c>
    </row>
    <row r="42" spans="1:53" s="50" customFormat="1" x14ac:dyDescent="0.25">
      <c r="A42" s="49">
        <v>27</v>
      </c>
      <c r="B42" s="49">
        <f t="shared" si="3"/>
        <v>2043</v>
      </c>
      <c r="C42" s="49">
        <f t="shared" si="0"/>
        <v>2044</v>
      </c>
      <c r="D42" s="54"/>
      <c r="E42" s="63"/>
      <c r="F42" s="56"/>
      <c r="G42" s="54">
        <f>'Misc Alt Schedule @ 6.5%'!G42+'Safety Alt Schedule @ 6.5%'!G42</f>
        <v>0</v>
      </c>
      <c r="H42" s="63">
        <f t="shared" si="4"/>
        <v>3</v>
      </c>
      <c r="I42" s="55">
        <f>'Misc Alt Schedule @ 6.5%'!I42+'Safety Alt Schedule @ 6.5%'!I42</f>
        <v>0</v>
      </c>
      <c r="J42" s="56"/>
      <c r="K42" s="63"/>
      <c r="L42" s="56"/>
      <c r="M42" s="54"/>
      <c r="N42" s="63"/>
      <c r="O42" s="55"/>
      <c r="P42" s="419">
        <f t="shared" si="5"/>
        <v>0</v>
      </c>
      <c r="Q42" s="420">
        <f t="shared" si="11"/>
        <v>4</v>
      </c>
      <c r="R42" s="452">
        <f t="shared" si="6"/>
        <v>0</v>
      </c>
      <c r="S42" s="63"/>
      <c r="T42" s="142"/>
      <c r="U42" s="361"/>
      <c r="V42" s="63"/>
      <c r="W42" s="55"/>
      <c r="X42" s="54">
        <f t="shared" si="1"/>
        <v>0</v>
      </c>
      <c r="Y42" s="63">
        <f t="shared" si="14"/>
        <v>3</v>
      </c>
      <c r="Z42" s="55">
        <f t="shared" si="2"/>
        <v>0</v>
      </c>
      <c r="AA42" s="54"/>
      <c r="AB42" s="63"/>
      <c r="AC42" s="55"/>
      <c r="AD42" s="54"/>
      <c r="AE42" s="63"/>
      <c r="AF42" s="55"/>
      <c r="AG42" s="54"/>
      <c r="AH42" s="63"/>
      <c r="AI42" s="55"/>
      <c r="AJ42" s="54"/>
      <c r="AK42" s="63"/>
      <c r="AL42" s="55"/>
      <c r="AM42" s="56">
        <f>'Misc Alt Schedule @ 6.5%'!AB42+'Safety Alt Schedule @ 6.5%'!AB42</f>
        <v>0</v>
      </c>
      <c r="AN42" s="63">
        <f t="shared" si="19"/>
        <v>-6</v>
      </c>
      <c r="AO42" s="297">
        <f>'Misc Alt Schedule @ 6.5%'!AD42+'Safety Alt Schedule @ 6.5%'!AD42</f>
        <v>0</v>
      </c>
      <c r="AP42" s="111"/>
      <c r="AQ42" s="54"/>
      <c r="AR42" s="430"/>
      <c r="AS42" s="431"/>
      <c r="BA42" s="216">
        <v>500000</v>
      </c>
    </row>
    <row r="43" spans="1:53" s="50" customFormat="1" x14ac:dyDescent="0.25">
      <c r="A43" s="49">
        <v>28</v>
      </c>
      <c r="B43" s="49">
        <f t="shared" si="3"/>
        <v>2044</v>
      </c>
      <c r="C43" s="49">
        <f t="shared" si="0"/>
        <v>2045</v>
      </c>
      <c r="D43" s="54"/>
      <c r="E43" s="63"/>
      <c r="F43" s="56"/>
      <c r="G43" s="54">
        <f>'Misc Alt Schedule @ 6.5%'!G43+'Safety Alt Schedule @ 6.5%'!G43</f>
        <v>0</v>
      </c>
      <c r="H43" s="63">
        <f t="shared" si="4"/>
        <v>2</v>
      </c>
      <c r="I43" s="55">
        <f>'Misc Alt Schedule @ 6.5%'!I43+'Safety Alt Schedule @ 6.5%'!I43</f>
        <v>0</v>
      </c>
      <c r="J43" s="56"/>
      <c r="K43" s="63"/>
      <c r="L43" s="56"/>
      <c r="M43" s="54"/>
      <c r="N43" s="63"/>
      <c r="O43" s="55"/>
      <c r="P43" s="419">
        <f t="shared" si="5"/>
        <v>0</v>
      </c>
      <c r="Q43" s="420">
        <f t="shared" si="11"/>
        <v>3</v>
      </c>
      <c r="R43" s="452">
        <f t="shared" si="6"/>
        <v>0</v>
      </c>
      <c r="S43" s="63"/>
      <c r="T43" s="142"/>
      <c r="U43" s="361"/>
      <c r="V43" s="63"/>
      <c r="W43" s="55"/>
      <c r="X43" s="54">
        <f t="shared" si="1"/>
        <v>0</v>
      </c>
      <c r="Y43" s="63">
        <f t="shared" si="14"/>
        <v>2</v>
      </c>
      <c r="Z43" s="55">
        <f t="shared" si="2"/>
        <v>0</v>
      </c>
      <c r="AA43" s="54"/>
      <c r="AB43" s="63"/>
      <c r="AC43" s="55"/>
      <c r="AD43" s="54"/>
      <c r="AE43" s="63"/>
      <c r="AF43" s="55"/>
      <c r="AG43" s="54"/>
      <c r="AH43" s="63"/>
      <c r="AI43" s="55"/>
      <c r="AJ43" s="54"/>
      <c r="AK43" s="63"/>
      <c r="AL43" s="55"/>
      <c r="AM43" s="56">
        <f>'Misc Alt Schedule @ 6.5%'!AB43+'Safety Alt Schedule @ 6.5%'!AB43</f>
        <v>0</v>
      </c>
      <c r="AN43" s="63">
        <f t="shared" si="19"/>
        <v>-7</v>
      </c>
      <c r="AO43" s="297">
        <f>'Misc Alt Schedule @ 6.5%'!AD43+'Safety Alt Schedule @ 6.5%'!AD43</f>
        <v>0</v>
      </c>
      <c r="AP43" s="111"/>
      <c r="AQ43" s="54"/>
      <c r="AR43" s="430"/>
      <c r="AS43" s="431"/>
      <c r="BA43" s="216">
        <v>500000</v>
      </c>
    </row>
    <row r="44" spans="1:53" x14ac:dyDescent="0.25">
      <c r="A44" s="49">
        <v>29</v>
      </c>
      <c r="B44" s="49">
        <f t="shared" si="3"/>
        <v>2045</v>
      </c>
      <c r="C44" s="49">
        <f t="shared" si="0"/>
        <v>2046</v>
      </c>
      <c r="D44" s="54"/>
      <c r="E44" s="63"/>
      <c r="F44" s="56"/>
      <c r="G44" s="54">
        <f>'Misc Alt Schedule @ 6.5%'!G44+'Safety Alt Schedule @ 6.5%'!G44</f>
        <v>0</v>
      </c>
      <c r="H44" s="63">
        <f t="shared" si="4"/>
        <v>1</v>
      </c>
      <c r="I44" s="55">
        <f>'Misc Alt Schedule @ 6.5%'!I44+'Safety Alt Schedule @ 6.5%'!I44</f>
        <v>0</v>
      </c>
      <c r="J44" s="56"/>
      <c r="K44" s="63"/>
      <c r="L44" s="56"/>
      <c r="M44" s="54"/>
      <c r="N44" s="63"/>
      <c r="O44" s="55"/>
      <c r="P44" s="419">
        <f t="shared" si="5"/>
        <v>0</v>
      </c>
      <c r="Q44" s="420">
        <f t="shared" si="11"/>
        <v>2</v>
      </c>
      <c r="R44" s="452">
        <f t="shared" si="6"/>
        <v>0</v>
      </c>
      <c r="S44" s="63"/>
      <c r="T44" s="142"/>
      <c r="U44" s="361"/>
      <c r="V44" s="63"/>
      <c r="W44" s="55"/>
      <c r="X44" s="54">
        <f t="shared" si="1"/>
        <v>0</v>
      </c>
      <c r="Y44" s="63">
        <f t="shared" si="14"/>
        <v>1</v>
      </c>
      <c r="Z44" s="55">
        <f t="shared" si="2"/>
        <v>0</v>
      </c>
      <c r="AA44" s="54"/>
      <c r="AB44" s="63"/>
      <c r="AC44" s="55"/>
      <c r="AD44" s="54"/>
      <c r="AE44" s="63"/>
      <c r="AF44" s="55"/>
      <c r="AG44" s="54"/>
      <c r="AH44" s="63"/>
      <c r="AI44" s="55"/>
      <c r="AJ44" s="54"/>
      <c r="AK44" s="63"/>
      <c r="AL44" s="55"/>
      <c r="AM44" s="56">
        <f>'Misc Alt Schedule @ 6.5%'!AB44+'Safety Alt Schedule @ 6.5%'!AB44</f>
        <v>0</v>
      </c>
      <c r="AN44" s="63">
        <f t="shared" si="19"/>
        <v>-8</v>
      </c>
      <c r="AO44" s="297">
        <f>'Misc Alt Schedule @ 6.5%'!AD44+'Safety Alt Schedule @ 6.5%'!AD44</f>
        <v>0</v>
      </c>
      <c r="AP44" s="111"/>
      <c r="AQ44" s="54"/>
      <c r="AR44" s="430"/>
      <c r="AS44" s="431"/>
      <c r="BA44" s="216">
        <v>500000</v>
      </c>
    </row>
    <row r="45" spans="1:53" x14ac:dyDescent="0.25">
      <c r="A45" s="49">
        <v>30</v>
      </c>
      <c r="B45" s="49">
        <f t="shared" si="3"/>
        <v>2046</v>
      </c>
      <c r="C45" s="49">
        <f t="shared" si="0"/>
        <v>2047</v>
      </c>
      <c r="D45" s="54"/>
      <c r="E45" s="63"/>
      <c r="F45" s="56"/>
      <c r="G45" s="22"/>
      <c r="H45" s="52"/>
      <c r="I45" s="21"/>
      <c r="J45" s="56"/>
      <c r="K45" s="63"/>
      <c r="L45" s="56"/>
      <c r="M45" s="54"/>
      <c r="N45" s="63"/>
      <c r="O45" s="55"/>
      <c r="P45" s="419">
        <f t="shared" si="5"/>
        <v>0</v>
      </c>
      <c r="Q45" s="420">
        <f t="shared" si="11"/>
        <v>1</v>
      </c>
      <c r="R45" s="452">
        <f t="shared" si="6"/>
        <v>0</v>
      </c>
      <c r="S45" s="63"/>
      <c r="T45" s="142"/>
      <c r="U45" s="361"/>
      <c r="V45" s="63"/>
      <c r="W45" s="55"/>
      <c r="X45" s="54">
        <f t="shared" si="1"/>
        <v>0</v>
      </c>
      <c r="Y45" s="63"/>
      <c r="Z45" s="55"/>
      <c r="AA45" s="54"/>
      <c r="AB45" s="63"/>
      <c r="AC45" s="55"/>
      <c r="AD45" s="54"/>
      <c r="AE45" s="63"/>
      <c r="AF45" s="55"/>
      <c r="AG45" s="54"/>
      <c r="AH45" s="63"/>
      <c r="AI45" s="55"/>
      <c r="AJ45" s="54"/>
      <c r="AK45" s="63"/>
      <c r="AL45" s="55"/>
      <c r="AM45" s="56">
        <f>'Misc Alt Schedule @ 6.5%'!AB45+'Safety Alt Schedule @ 6.5%'!AB45</f>
        <v>0</v>
      </c>
      <c r="AN45" s="63">
        <f t="shared" si="19"/>
        <v>-9</v>
      </c>
      <c r="AO45" s="297">
        <f>'Misc Alt Schedule @ 6.5%'!AD45+'Safety Alt Schedule @ 6.5%'!AD45</f>
        <v>0</v>
      </c>
      <c r="AP45" s="111"/>
      <c r="AQ45" s="54"/>
      <c r="AR45" s="430"/>
      <c r="AS45" s="431"/>
      <c r="BA45" s="216">
        <v>500000</v>
      </c>
    </row>
    <row r="46" spans="1:53" ht="15.75" thickBot="1" x14ac:dyDescent="0.3">
      <c r="C46" s="56"/>
      <c r="D46" s="57"/>
      <c r="E46" s="68"/>
      <c r="F46" s="59"/>
      <c r="G46" s="57"/>
      <c r="H46" s="68"/>
      <c r="I46" s="58"/>
      <c r="J46" s="61"/>
      <c r="K46" s="61"/>
      <c r="L46" s="61"/>
      <c r="M46" s="60"/>
      <c r="N46" s="61"/>
      <c r="O46" s="62"/>
      <c r="P46" s="453"/>
      <c r="Q46" s="454"/>
      <c r="R46" s="455"/>
      <c r="S46" s="146"/>
      <c r="T46" s="147"/>
      <c r="U46" s="33"/>
      <c r="V46" s="12"/>
      <c r="W46" s="34"/>
      <c r="X46" s="54">
        <f t="shared" si="1"/>
        <v>0</v>
      </c>
      <c r="Y46" s="12"/>
      <c r="Z46" s="34"/>
      <c r="AA46" s="60"/>
      <c r="AB46" s="61"/>
      <c r="AC46" s="62"/>
      <c r="AD46" s="60"/>
      <c r="AE46" s="61"/>
      <c r="AF46" s="62"/>
      <c r="AG46" s="60"/>
      <c r="AH46" s="61"/>
      <c r="AI46" s="62"/>
      <c r="AJ46" s="60"/>
      <c r="AK46" s="61"/>
      <c r="AL46" s="62"/>
      <c r="AM46" s="67"/>
      <c r="AN46" s="67"/>
      <c r="AO46" s="298"/>
      <c r="AP46" s="52"/>
      <c r="AQ46" s="66"/>
      <c r="AR46" s="67"/>
      <c r="AS46" s="298"/>
    </row>
    <row r="47" spans="1:53" x14ac:dyDescent="0.25">
      <c r="C47" s="47"/>
      <c r="P47" s="416" t="s">
        <v>81</v>
      </c>
      <c r="R47" s="456">
        <f>SUM(R16:R46)</f>
        <v>573127138.71834552</v>
      </c>
      <c r="S47" s="47"/>
      <c r="U47" s="48" t="s">
        <v>184</v>
      </c>
      <c r="V47" s="48"/>
      <c r="W47" s="48">
        <f>SUM(W16:W46)</f>
        <v>547471131.74915147</v>
      </c>
      <c r="X47" s="48" t="s">
        <v>184</v>
      </c>
      <c r="Y47" s="48"/>
      <c r="Z47" s="48">
        <f>SUM(Z16:Z46)</f>
        <v>-140934775.67697573</v>
      </c>
      <c r="AM47" s="49" t="s">
        <v>81</v>
      </c>
      <c r="AO47" s="47">
        <f>SUM(AO16:AO46)</f>
        <v>796017859.45631123</v>
      </c>
      <c r="AQ47" s="49" t="s">
        <v>81</v>
      </c>
      <c r="AS47" s="47">
        <f>SUM(AS16:AS46)</f>
        <v>798067610.56293976</v>
      </c>
    </row>
    <row r="48" spans="1:53" x14ac:dyDescent="0.25">
      <c r="B48" s="215">
        <v>0</v>
      </c>
      <c r="C48" s="52"/>
      <c r="D48" s="56"/>
      <c r="E48" s="49" t="s">
        <v>152</v>
      </c>
      <c r="P48" s="416" t="s">
        <v>86</v>
      </c>
      <c r="R48" s="457">
        <f>NPV(0.03,R16:R45)</f>
        <v>434810417.77347738</v>
      </c>
      <c r="S48" s="48"/>
      <c r="T48" s="48"/>
      <c r="U48" s="379" t="s">
        <v>185</v>
      </c>
      <c r="W48" s="363">
        <f>NPV(0.03,W16:W43)</f>
        <v>424004104.73659891</v>
      </c>
      <c r="X48" s="379" t="s">
        <v>185</v>
      </c>
      <c r="Z48" s="363">
        <f>NPV(0.03,Z16:Z43)</f>
        <v>-101844415.56938374</v>
      </c>
      <c r="AM48" s="49" t="s">
        <v>86</v>
      </c>
      <c r="AO48" s="48">
        <f>NPV(0.03,AO16:AO45)</f>
        <v>595879075.8130368</v>
      </c>
      <c r="AP48" s="48"/>
      <c r="AQ48" s="73"/>
      <c r="AS48" s="48">
        <f>NPV(0.03,AS16:AS45)</f>
        <v>594362164.73657274</v>
      </c>
    </row>
    <row r="49" spans="2:45" x14ac:dyDescent="0.25">
      <c r="B49" s="215">
        <v>-1</v>
      </c>
      <c r="C49" s="52"/>
      <c r="D49" s="274"/>
      <c r="E49" s="49" t="s">
        <v>153</v>
      </c>
      <c r="S49" s="49"/>
    </row>
    <row r="50" spans="2:45" x14ac:dyDescent="0.25">
      <c r="B50" s="215">
        <v>1</v>
      </c>
      <c r="C50" s="52"/>
      <c r="D50" s="56"/>
      <c r="E50" s="49" t="s">
        <v>154</v>
      </c>
      <c r="S50" s="49"/>
      <c r="AR50" s="106" t="s">
        <v>228</v>
      </c>
      <c r="AS50" s="47">
        <f>AO47-AS47</f>
        <v>-2049751.1066285372</v>
      </c>
    </row>
    <row r="51" spans="2:45" x14ac:dyDescent="0.25">
      <c r="S51" s="49"/>
      <c r="AR51" s="106" t="s">
        <v>227</v>
      </c>
      <c r="AS51" s="47">
        <f>AO48-AS48</f>
        <v>1516911.076464057</v>
      </c>
    </row>
    <row r="52" spans="2:45" x14ac:dyDescent="0.25">
      <c r="S52" s="49"/>
    </row>
    <row r="53" spans="2:45" x14ac:dyDescent="0.25">
      <c r="S53" s="47"/>
    </row>
    <row r="55" spans="2:45" x14ac:dyDescent="0.25">
      <c r="G55" s="48" t="e">
        <f>'Misc Alt Schedule @ 7%'!AA47+#REF!</f>
        <v>#REF!</v>
      </c>
      <c r="I55" s="47" t="e">
        <f>R47-G55</f>
        <v>#REF!</v>
      </c>
    </row>
    <row r="56" spans="2:45" x14ac:dyDescent="0.25">
      <c r="G56" s="48" t="e">
        <f>'Misc Alt Schedule @ 7%'!AA48+#REF!</f>
        <v>#REF!</v>
      </c>
      <c r="I56" s="47" t="e">
        <f>R48-G56</f>
        <v>#REF!</v>
      </c>
    </row>
  </sheetData>
  <mergeCells count="17">
    <mergeCell ref="AQ11:AS11"/>
    <mergeCell ref="AQ12:AS12"/>
    <mergeCell ref="AM11:AO11"/>
    <mergeCell ref="AM12:AO12"/>
    <mergeCell ref="AR5:AW5"/>
    <mergeCell ref="D10:R10"/>
    <mergeCell ref="D12:F12"/>
    <mergeCell ref="G12:I12"/>
    <mergeCell ref="J12:L12"/>
    <mergeCell ref="M12:O12"/>
    <mergeCell ref="P12:R12"/>
    <mergeCell ref="AJ12:AL12"/>
    <mergeCell ref="U12:W12"/>
    <mergeCell ref="X12:Z12"/>
    <mergeCell ref="AA12:AC12"/>
    <mergeCell ref="AD12:AF12"/>
    <mergeCell ref="AG12:AI12"/>
  </mergeCells>
  <conditionalFormatting sqref="AP14:AP45 T14:T45">
    <cfRule type="iconSet" priority="85">
      <iconSet>
        <cfvo type="percent" val="0"/>
        <cfvo type="num" val="0.7"/>
        <cfvo type="num" val="0.8"/>
      </iconSet>
    </cfRule>
  </conditionalFormatting>
  <conditionalFormatting sqref="D17">
    <cfRule type="cellIs" dxfId="455" priority="82" operator="greaterThanOrEqual">
      <formula>D16</formula>
    </cfRule>
    <cfRule type="cellIs" dxfId="454" priority="83" operator="greaterThan">
      <formula>D$16</formula>
    </cfRule>
    <cfRule type="cellIs" dxfId="453" priority="84" operator="lessThanOrEqual">
      <formula>D$16</formula>
    </cfRule>
  </conditionalFormatting>
  <conditionalFormatting sqref="D18:D33">
    <cfRule type="cellIs" dxfId="452" priority="79" operator="greaterThanOrEqual">
      <formula>D17</formula>
    </cfRule>
    <cfRule type="cellIs" dxfId="451" priority="80" operator="greaterThan">
      <formula>D$16</formula>
    </cfRule>
    <cfRule type="cellIs" dxfId="450" priority="81" operator="lessThanOrEqual">
      <formula>D$16</formula>
    </cfRule>
  </conditionalFormatting>
  <conditionalFormatting sqref="D48">
    <cfRule type="cellIs" dxfId="449" priority="76" operator="greaterThanOrEqual">
      <formula>B48</formula>
    </cfRule>
    <cfRule type="cellIs" dxfId="448" priority="77" operator="greaterThan">
      <formula>B49</formula>
    </cfRule>
    <cfRule type="cellIs" dxfId="447" priority="78" operator="lessThanOrEqual">
      <formula>51</formula>
    </cfRule>
  </conditionalFormatting>
  <conditionalFormatting sqref="G16:G44">
    <cfRule type="cellIs" dxfId="446" priority="86" operator="greaterThanOrEqual">
      <formula>G15</formula>
    </cfRule>
    <cfRule type="cellIs" dxfId="445" priority="87" operator="greaterThan">
      <formula>G$15</formula>
    </cfRule>
    <cfRule type="cellIs" dxfId="444" priority="88" operator="lessThanOrEqual">
      <formula>G$15</formula>
    </cfRule>
  </conditionalFormatting>
  <conditionalFormatting sqref="P18:P45">
    <cfRule type="cellIs" dxfId="443" priority="70" operator="greaterThanOrEqual">
      <formula>P17</formula>
    </cfRule>
    <cfRule type="cellIs" dxfId="442" priority="71" operator="greaterThan">
      <formula>P$16</formula>
    </cfRule>
    <cfRule type="cellIs" dxfId="441" priority="72" operator="lessThanOrEqual">
      <formula>P$16</formula>
    </cfRule>
  </conditionalFormatting>
  <conditionalFormatting sqref="M17">
    <cfRule type="cellIs" dxfId="440" priority="67" operator="greaterThanOrEqual">
      <formula>M16</formula>
    </cfRule>
    <cfRule type="cellIs" dxfId="439" priority="68" operator="greaterThan">
      <formula>M$16</formula>
    </cfRule>
    <cfRule type="cellIs" dxfId="438" priority="69" operator="lessThanOrEqual">
      <formula>M$16</formula>
    </cfRule>
  </conditionalFormatting>
  <conditionalFormatting sqref="P17">
    <cfRule type="cellIs" dxfId="437" priority="73" operator="greaterThanOrEqual">
      <formula>P16</formula>
    </cfRule>
    <cfRule type="cellIs" dxfId="436" priority="74" operator="greaterThan">
      <formula>P$16</formula>
    </cfRule>
    <cfRule type="cellIs" dxfId="435" priority="75" operator="lessThanOrEqual">
      <formula>P$16</formula>
    </cfRule>
  </conditionalFormatting>
  <conditionalFormatting sqref="M18:M36">
    <cfRule type="cellIs" dxfId="434" priority="64" operator="greaterThanOrEqual">
      <formula>M17</formula>
    </cfRule>
    <cfRule type="cellIs" dxfId="433" priority="65" operator="greaterThan">
      <formula>M$16</formula>
    </cfRule>
    <cfRule type="cellIs" dxfId="432" priority="66" operator="lessThanOrEqual">
      <formula>M$16</formula>
    </cfRule>
  </conditionalFormatting>
  <conditionalFormatting sqref="J18:J36">
    <cfRule type="cellIs" dxfId="431" priority="58" operator="greaterThanOrEqual">
      <formula>J17</formula>
    </cfRule>
    <cfRule type="cellIs" dxfId="430" priority="59" operator="greaterThan">
      <formula>J$16</formula>
    </cfRule>
    <cfRule type="cellIs" dxfId="429" priority="60" operator="lessThanOrEqual">
      <formula>J$16</formula>
    </cfRule>
  </conditionalFormatting>
  <conditionalFormatting sqref="J17">
    <cfRule type="cellIs" dxfId="428" priority="61" operator="greaterThanOrEqual">
      <formula>J16</formula>
    </cfRule>
    <cfRule type="cellIs" dxfId="427" priority="62" operator="greaterThan">
      <formula>J$16</formula>
    </cfRule>
    <cfRule type="cellIs" dxfId="426" priority="63" operator="lessThanOrEqual">
      <formula>J$16</formula>
    </cfRule>
  </conditionalFormatting>
  <conditionalFormatting sqref="D50">
    <cfRule type="cellIs" dxfId="425" priority="89" operator="greaterThanOrEqual">
      <formula>B50</formula>
    </cfRule>
    <cfRule type="cellIs" dxfId="424" priority="90" operator="greaterThan">
      <formula>D48</formula>
    </cfRule>
    <cfRule type="cellIs" dxfId="423" priority="91" operator="lessThanOrEqual">
      <formula>51</formula>
    </cfRule>
  </conditionalFormatting>
  <conditionalFormatting sqref="U17:U36">
    <cfRule type="cellIs" dxfId="422" priority="126" operator="greaterThanOrEqual">
      <formula>U16</formula>
    </cfRule>
    <cfRule type="cellIs" dxfId="421" priority="127" operator="greaterThan">
      <formula>U$18</formula>
    </cfRule>
    <cfRule type="cellIs" dxfId="420" priority="128" operator="lessThanOrEqual">
      <formula>U$18</formula>
    </cfRule>
  </conditionalFormatting>
  <conditionalFormatting sqref="X17:X33">
    <cfRule type="cellIs" dxfId="419" priority="46" operator="greaterThanOrEqual">
      <formula>X16</formula>
    </cfRule>
    <cfRule type="cellIs" dxfId="418" priority="47" operator="greaterThan">
      <formula>X$18</formula>
    </cfRule>
    <cfRule type="cellIs" dxfId="417" priority="48" operator="lessThanOrEqual">
      <formula>X$18</formula>
    </cfRule>
  </conditionalFormatting>
  <conditionalFormatting sqref="X34:X46">
    <cfRule type="cellIs" dxfId="416" priority="43" operator="greaterThanOrEqual">
      <formula>X33</formula>
    </cfRule>
    <cfRule type="cellIs" dxfId="415" priority="44" operator="greaterThan">
      <formula>X$18</formula>
    </cfRule>
    <cfRule type="cellIs" dxfId="414" priority="45" operator="lessThanOrEqual">
      <formula>X$18</formula>
    </cfRule>
  </conditionalFormatting>
  <conditionalFormatting sqref="AM18:AM45">
    <cfRule type="cellIs" dxfId="413" priority="19" operator="greaterThanOrEqual">
      <formula>AM17</formula>
    </cfRule>
    <cfRule type="cellIs" dxfId="412" priority="20" operator="greaterThan">
      <formula>AM$16</formula>
    </cfRule>
    <cfRule type="cellIs" dxfId="411" priority="21" operator="lessThanOrEqual">
      <formula>AM$16</formula>
    </cfRule>
  </conditionalFormatting>
  <conditionalFormatting sqref="AM17">
    <cfRule type="cellIs" dxfId="410" priority="22" operator="greaterThanOrEqual">
      <formula>AM16</formula>
    </cfRule>
    <cfRule type="cellIs" dxfId="409" priority="23" operator="greaterThan">
      <formula>AM$16</formula>
    </cfRule>
    <cfRule type="cellIs" dxfId="408" priority="24" operator="lessThanOrEqual">
      <formula>AM$16</formula>
    </cfRule>
  </conditionalFormatting>
  <conditionalFormatting sqref="AQ18:AQ35">
    <cfRule type="cellIs" dxfId="407" priority="1" operator="greaterThanOrEqual">
      <formula>AQ17</formula>
    </cfRule>
    <cfRule type="cellIs" dxfId="406" priority="2" operator="greaterThan">
      <formula>AQ$16</formula>
    </cfRule>
    <cfRule type="cellIs" dxfId="405" priority="3" operator="lessThanOrEqual">
      <formula>AQ$16</formula>
    </cfRule>
  </conditionalFormatting>
  <conditionalFormatting sqref="AQ17">
    <cfRule type="cellIs" dxfId="404" priority="4" operator="greaterThanOrEqual">
      <formula>AQ16</formula>
    </cfRule>
    <cfRule type="cellIs" dxfId="403" priority="5" operator="greaterThan">
      <formula>AQ$16</formula>
    </cfRule>
    <cfRule type="cellIs" dxfId="402" priority="6" operator="lessThanOrEqual">
      <formula>AQ$16</formula>
    </cfRule>
  </conditionalFormatting>
  <pageMargins left="0.25" right="0.25" top="0.25" bottom="0.25" header="0.3" footer="0.3"/>
  <pageSetup scale="33" orientation="landscape" r:id="rId1"/>
  <headerFooter differentFirst="1">
    <oddFooter>&amp;R&amp;P</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31" operator="greaterThanOrEqual" id="{ED2694AF-735D-483C-AD4D-4BC113B4B6D1}">
            <xm:f>'Total Alt Schedule @ 7%'!AB16</xm:f>
            <x14:dxf>
              <fill>
                <patternFill>
                  <bgColor rgb="FFFF6969"/>
                </patternFill>
              </fill>
            </x14:dxf>
          </x14:cfRule>
          <x14:cfRule type="cellIs" priority="32" operator="greaterThan" id="{EFA489B8-7E69-4FFD-B65C-71FC2057C934}">
            <xm:f>'Total Alt Schedule @ 7%'!AB$16</xm:f>
            <x14:dxf>
              <fill>
                <patternFill>
                  <bgColor rgb="FFFFFF66"/>
                </patternFill>
              </fill>
            </x14:dxf>
          </x14:cfRule>
          <x14:cfRule type="cellIs" priority="33" operator="lessThanOrEqual" id="{4AC8A582-8C24-41C2-BF8F-88763B390291}">
            <xm:f>'Total Alt Schedule @ 7%'!AB$16</xm:f>
            <x14:dxf>
              <fill>
                <patternFill>
                  <bgColor rgb="FF94E494"/>
                </patternFill>
              </fill>
            </x14:dxf>
          </x14:cfRule>
          <xm:sqref>AG17:AG36 AJ17:AJ36 AD17:AD36</xm:sqref>
        </x14:conditionalFormatting>
        <x14:conditionalFormatting xmlns:xm="http://schemas.microsoft.com/office/excel/2006/main">
          <x14:cfRule type="cellIs" priority="183" operator="greaterThanOrEqual" id="{ED2694AF-735D-483C-AD4D-4BC113B4B6D1}">
            <xm:f>'Total Alt Schedule @ 7%'!AA16</xm:f>
            <x14:dxf>
              <fill>
                <patternFill>
                  <bgColor rgb="FFFF6969"/>
                </patternFill>
              </fill>
            </x14:dxf>
          </x14:cfRule>
          <x14:cfRule type="cellIs" priority="184" operator="greaterThan" id="{EFA489B8-7E69-4FFD-B65C-71FC2057C934}">
            <xm:f>'Total Alt Schedule @ 7%'!AA$16</xm:f>
            <x14:dxf>
              <fill>
                <patternFill>
                  <bgColor rgb="FFFFFF66"/>
                </patternFill>
              </fill>
            </x14:dxf>
          </x14:cfRule>
          <x14:cfRule type="cellIs" priority="185" operator="lessThanOrEqual" id="{4AC8A582-8C24-41C2-BF8F-88763B390291}">
            <xm:f>'Total Alt Schedule @ 7%'!AA$16</xm:f>
            <x14:dxf>
              <fill>
                <patternFill>
                  <bgColor rgb="FF94E494"/>
                </patternFill>
              </fill>
            </x14:dxf>
          </x14:cfRule>
          <xm:sqref>AA17:AA36</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C1:C6"/>
  <sheetViews>
    <sheetView showGridLines="0" topLeftCell="B13" workbookViewId="0">
      <selection activeCell="O56" sqref="O56"/>
    </sheetView>
  </sheetViews>
  <sheetFormatPr defaultRowHeight="15" x14ac:dyDescent="0.25"/>
  <sheetData>
    <row r="1" spans="3:3" s="49" customFormat="1" x14ac:dyDescent="0.25"/>
    <row r="2" spans="3:3" s="49" customFormat="1" x14ac:dyDescent="0.25"/>
    <row r="3" spans="3:3" s="49" customFormat="1" x14ac:dyDescent="0.25"/>
    <row r="4" spans="3:3" s="49" customFormat="1" x14ac:dyDescent="0.25"/>
    <row r="5" spans="3:3" s="49" customFormat="1" x14ac:dyDescent="0.25"/>
    <row r="6" spans="3:3" s="49" customFormat="1" ht="26.25" x14ac:dyDescent="0.4">
      <c r="C6" s="214" t="s">
        <v>128</v>
      </c>
    </row>
  </sheetData>
  <pageMargins left="0.25" right="0.25" top="0.75" bottom="0.75" header="0.3" footer="0.3"/>
  <pageSetup paperSize="3" scale="69" orientation="landscape" r:id="rId1"/>
  <headerFooter differentFirst="1">
    <oddFooter>&amp;R&amp;P</oddFooter>
    <firstHeader>&amp;C&amp;20Attachment A&amp;16
&amp;18Analysis of Unfunded Pension Liability and Payment Options&amp;16
6/30/13 Actuarial Valuation
Prepared October 2014</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workbookViewId="0">
      <selection activeCell="L36" sqref="L36"/>
    </sheetView>
  </sheetViews>
  <sheetFormatPr defaultRowHeight="15" x14ac:dyDescent="0.25"/>
  <cols>
    <col min="1" max="1" width="2.7109375" customWidth="1"/>
    <col min="2" max="2" width="57.85546875" customWidth="1"/>
    <col min="3" max="3" width="15" customWidth="1"/>
    <col min="4" max="4" width="15" bestFit="1" customWidth="1"/>
    <col min="5" max="5" width="15.7109375" bestFit="1" customWidth="1"/>
    <col min="6" max="6" width="15.28515625" hidden="1" customWidth="1"/>
    <col min="7" max="7" width="12.5703125" bestFit="1" customWidth="1"/>
    <col min="8" max="8" width="16.28515625" hidden="1" customWidth="1"/>
  </cols>
  <sheetData>
    <row r="1" spans="2:7" x14ac:dyDescent="0.25">
      <c r="B1" s="538" t="s">
        <v>13</v>
      </c>
      <c r="C1" s="538"/>
      <c r="D1" s="538"/>
      <c r="E1" s="538"/>
      <c r="F1" s="538"/>
      <c r="G1" s="538"/>
    </row>
    <row r="2" spans="2:7" x14ac:dyDescent="0.25">
      <c r="B2" s="540" t="s">
        <v>45</v>
      </c>
      <c r="C2" s="540"/>
      <c r="D2" s="540"/>
      <c r="E2" s="540"/>
      <c r="F2" s="540"/>
      <c r="G2" s="540"/>
    </row>
    <row r="3" spans="2:7" x14ac:dyDescent="0.25">
      <c r="B3" s="540" t="s">
        <v>46</v>
      </c>
      <c r="C3" s="540"/>
      <c r="D3" s="540"/>
      <c r="E3" s="540"/>
      <c r="F3" s="540"/>
      <c r="G3" s="540"/>
    </row>
    <row r="4" spans="2:7" x14ac:dyDescent="0.25">
      <c r="B4" s="1"/>
      <c r="E4" s="3"/>
    </row>
    <row r="5" spans="2:7" x14ac:dyDescent="0.25">
      <c r="B5" s="15" t="s">
        <v>0</v>
      </c>
      <c r="C5" s="16"/>
      <c r="D5" s="16"/>
      <c r="E5" s="17" t="s">
        <v>9</v>
      </c>
      <c r="F5" s="16"/>
      <c r="G5" s="19"/>
    </row>
    <row r="6" spans="2:7" ht="30.75" thickBot="1" x14ac:dyDescent="0.3">
      <c r="B6" s="20" t="s">
        <v>12</v>
      </c>
      <c r="C6" s="2" t="s">
        <v>3</v>
      </c>
      <c r="D6" s="8" t="s">
        <v>1</v>
      </c>
      <c r="E6" s="8" t="s">
        <v>2</v>
      </c>
      <c r="F6" s="6" t="s">
        <v>7</v>
      </c>
      <c r="G6" s="21"/>
    </row>
    <row r="7" spans="2:7" ht="6.75" customHeight="1" thickTop="1" x14ac:dyDescent="0.25">
      <c r="B7" s="22"/>
      <c r="C7" s="13"/>
      <c r="D7" s="23"/>
      <c r="E7" s="13"/>
      <c r="F7" s="13"/>
      <c r="G7" s="21"/>
    </row>
    <row r="8" spans="2:7" x14ac:dyDescent="0.25">
      <c r="B8" s="22" t="s">
        <v>8</v>
      </c>
      <c r="C8" s="24">
        <v>40724</v>
      </c>
      <c r="D8" s="23">
        <v>24</v>
      </c>
      <c r="E8" s="25">
        <v>115986951</v>
      </c>
      <c r="F8" s="25">
        <f>E8*D8</f>
        <v>2783686824</v>
      </c>
      <c r="G8" s="21"/>
    </row>
    <row r="9" spans="2:7" x14ac:dyDescent="0.25">
      <c r="B9" s="22" t="s">
        <v>4</v>
      </c>
      <c r="C9" s="24">
        <v>41090</v>
      </c>
      <c r="D9" s="23">
        <v>29</v>
      </c>
      <c r="E9" s="25">
        <v>437717</v>
      </c>
      <c r="F9" s="25">
        <f>E9*D9</f>
        <v>12693793</v>
      </c>
      <c r="G9" s="21"/>
    </row>
    <row r="10" spans="2:7" x14ac:dyDescent="0.25">
      <c r="B10" s="22" t="s">
        <v>5</v>
      </c>
      <c r="C10" s="24">
        <v>41090</v>
      </c>
      <c r="D10" s="23">
        <v>29</v>
      </c>
      <c r="E10" s="25">
        <v>9655596</v>
      </c>
      <c r="F10" s="25">
        <f>E10*D10</f>
        <v>280012284</v>
      </c>
      <c r="G10" s="21"/>
    </row>
    <row r="11" spans="2:7" x14ac:dyDescent="0.25">
      <c r="B11" s="26" t="s">
        <v>48</v>
      </c>
      <c r="C11" s="27">
        <v>41455</v>
      </c>
      <c r="D11" s="45">
        <v>30</v>
      </c>
      <c r="E11" s="46">
        <v>37123188</v>
      </c>
      <c r="F11" s="25">
        <f>E11*D11</f>
        <v>1113695640</v>
      </c>
      <c r="G11" s="21"/>
    </row>
    <row r="12" spans="2:7" x14ac:dyDescent="0.25">
      <c r="B12" s="22"/>
      <c r="C12" s="13"/>
      <c r="D12" s="10"/>
      <c r="E12" s="11"/>
      <c r="F12" s="25">
        <f>SUM(F8:F11)</f>
        <v>4190088541</v>
      </c>
      <c r="G12" s="21"/>
    </row>
    <row r="13" spans="2:7" x14ac:dyDescent="0.25">
      <c r="B13" s="22"/>
      <c r="C13" s="28" t="s">
        <v>10</v>
      </c>
      <c r="D13" s="29">
        <f>F13</f>
        <v>25.674019082635581</v>
      </c>
      <c r="E13" s="25">
        <f>SUM(E8:E12)</f>
        <v>163203452</v>
      </c>
      <c r="F13" s="29">
        <f>F12/E13</f>
        <v>25.674019082635581</v>
      </c>
      <c r="G13" s="21"/>
    </row>
    <row r="14" spans="2:7" x14ac:dyDescent="0.25">
      <c r="B14" s="22"/>
      <c r="C14" s="28"/>
      <c r="D14" s="29"/>
      <c r="E14" s="25"/>
      <c r="F14" s="29"/>
      <c r="G14" s="21"/>
    </row>
    <row r="15" spans="2:7" x14ac:dyDescent="0.25">
      <c r="B15" s="30" t="s">
        <v>25</v>
      </c>
      <c r="C15" s="28"/>
      <c r="D15" s="29"/>
      <c r="E15" s="25" t="s">
        <v>17</v>
      </c>
      <c r="F15" s="29"/>
      <c r="G15" s="21" t="s">
        <v>19</v>
      </c>
    </row>
    <row r="16" spans="2:7" x14ac:dyDescent="0.25">
      <c r="B16" s="31" t="s">
        <v>14</v>
      </c>
      <c r="C16" s="28"/>
      <c r="D16" s="29"/>
      <c r="E16" s="25">
        <v>8301212</v>
      </c>
      <c r="F16" s="29"/>
      <c r="G16" s="21"/>
    </row>
    <row r="17" spans="2:7" x14ac:dyDescent="0.25">
      <c r="B17" s="22" t="s">
        <v>11</v>
      </c>
      <c r="C17" s="13"/>
      <c r="D17" s="23"/>
      <c r="E17" s="25">
        <v>9268990</v>
      </c>
      <c r="F17" s="13"/>
      <c r="G17" s="32">
        <f>E17+E16</f>
        <v>17570202</v>
      </c>
    </row>
    <row r="18" spans="2:7" x14ac:dyDescent="0.25">
      <c r="B18" s="22" t="s">
        <v>16</v>
      </c>
      <c r="C18" s="13"/>
      <c r="D18" s="23"/>
      <c r="E18" s="11">
        <v>3744115</v>
      </c>
      <c r="F18" s="13"/>
      <c r="G18" s="32">
        <f>G17+E18</f>
        <v>21314317</v>
      </c>
    </row>
    <row r="19" spans="2:7" x14ac:dyDescent="0.25">
      <c r="B19" s="22" t="s">
        <v>15</v>
      </c>
      <c r="C19" s="13"/>
      <c r="D19" s="23"/>
      <c r="E19" s="36">
        <f>SUM(E16:E18)</f>
        <v>21314317</v>
      </c>
      <c r="F19" s="13"/>
      <c r="G19" s="21"/>
    </row>
    <row r="20" spans="2:7" x14ac:dyDescent="0.25">
      <c r="B20" s="33"/>
      <c r="C20" s="12"/>
      <c r="D20" s="10"/>
      <c r="E20" s="35"/>
      <c r="F20" s="12"/>
      <c r="G20" s="34"/>
    </row>
    <row r="21" spans="2:7" x14ac:dyDescent="0.25">
      <c r="D21" s="3"/>
      <c r="E21" s="4"/>
    </row>
    <row r="22" spans="2:7" x14ac:dyDescent="0.25">
      <c r="B22" s="15" t="s">
        <v>6</v>
      </c>
      <c r="C22" s="16"/>
      <c r="D22" s="17"/>
      <c r="E22" s="18" t="s">
        <v>9</v>
      </c>
      <c r="F22" s="16"/>
      <c r="G22" s="19"/>
    </row>
    <row r="23" spans="2:7" ht="30.75" thickBot="1" x14ac:dyDescent="0.3">
      <c r="B23" s="20" t="s">
        <v>12</v>
      </c>
      <c r="C23" s="2" t="s">
        <v>3</v>
      </c>
      <c r="D23" s="8" t="s">
        <v>1</v>
      </c>
      <c r="E23" s="8" t="s">
        <v>2</v>
      </c>
      <c r="F23" s="6" t="s">
        <v>7</v>
      </c>
      <c r="G23" s="21"/>
    </row>
    <row r="24" spans="2:7" ht="15.75" thickTop="1" x14ac:dyDescent="0.25">
      <c r="B24" s="22"/>
      <c r="C24" s="13"/>
      <c r="D24" s="23"/>
      <c r="E24" s="13"/>
      <c r="F24" s="13"/>
      <c r="G24" s="21"/>
    </row>
    <row r="25" spans="2:7" x14ac:dyDescent="0.25">
      <c r="B25" s="22" t="s">
        <v>8</v>
      </c>
      <c r="C25" s="24">
        <v>40724</v>
      </c>
      <c r="D25" s="23">
        <v>19</v>
      </c>
      <c r="E25" s="25">
        <v>60535312</v>
      </c>
      <c r="F25" s="25">
        <f>D25*E25</f>
        <v>1150170928</v>
      </c>
      <c r="G25" s="21"/>
    </row>
    <row r="26" spans="2:7" x14ac:dyDescent="0.25">
      <c r="B26" s="22" t="s">
        <v>5</v>
      </c>
      <c r="C26" s="24">
        <v>41090</v>
      </c>
      <c r="D26" s="23">
        <v>29</v>
      </c>
      <c r="E26" s="25">
        <v>3554347</v>
      </c>
      <c r="F26" s="25">
        <f>D26*E26</f>
        <v>103076063</v>
      </c>
      <c r="G26" s="21"/>
    </row>
    <row r="27" spans="2:7" x14ac:dyDescent="0.25">
      <c r="B27" s="26" t="s">
        <v>48</v>
      </c>
      <c r="C27" s="27">
        <v>41455</v>
      </c>
      <c r="D27" s="45">
        <v>30</v>
      </c>
      <c r="E27" s="46">
        <v>30659310</v>
      </c>
      <c r="F27" s="25">
        <f>D27*E27</f>
        <v>919779300</v>
      </c>
      <c r="G27" s="21"/>
    </row>
    <row r="28" spans="2:7" x14ac:dyDescent="0.25">
      <c r="B28" s="22"/>
      <c r="C28" s="13"/>
      <c r="D28" s="10"/>
      <c r="E28" s="11"/>
      <c r="F28" s="25">
        <f>SUM(F25:F27)</f>
        <v>2173026291</v>
      </c>
      <c r="G28" s="21"/>
    </row>
    <row r="29" spans="2:7" x14ac:dyDescent="0.25">
      <c r="B29" s="22"/>
      <c r="C29" s="28" t="s">
        <v>10</v>
      </c>
      <c r="D29" s="29">
        <f>F29</f>
        <v>22.934563973988993</v>
      </c>
      <c r="E29" s="25">
        <f>SUM(E25:E28)</f>
        <v>94748969</v>
      </c>
      <c r="F29" s="29">
        <f>F28/E29</f>
        <v>22.934563973988993</v>
      </c>
      <c r="G29" s="21"/>
    </row>
    <row r="30" spans="2:7" x14ac:dyDescent="0.25">
      <c r="B30" s="22"/>
      <c r="C30" s="28"/>
      <c r="D30" s="29"/>
      <c r="E30" s="25"/>
      <c r="F30" s="29"/>
      <c r="G30" s="21"/>
    </row>
    <row r="31" spans="2:7" x14ac:dyDescent="0.25">
      <c r="B31" s="30" t="s">
        <v>25</v>
      </c>
      <c r="C31" s="13"/>
      <c r="D31" s="23"/>
      <c r="E31" s="25" t="s">
        <v>17</v>
      </c>
      <c r="F31" s="13"/>
      <c r="G31" s="21" t="s">
        <v>20</v>
      </c>
    </row>
    <row r="32" spans="2:7" x14ac:dyDescent="0.25">
      <c r="B32" s="31" t="s">
        <v>14</v>
      </c>
      <c r="C32" s="13"/>
      <c r="D32" s="23"/>
      <c r="E32" s="25">
        <v>6744068</v>
      </c>
      <c r="F32" s="13"/>
      <c r="G32" s="21"/>
    </row>
    <row r="33" spans="1:8" x14ac:dyDescent="0.25">
      <c r="B33" s="22" t="s">
        <v>11</v>
      </c>
      <c r="C33" s="13"/>
      <c r="D33" s="23"/>
      <c r="E33" s="25">
        <v>5452620</v>
      </c>
      <c r="F33" s="13"/>
      <c r="G33" s="32">
        <f>E33+E32</f>
        <v>12196688</v>
      </c>
    </row>
    <row r="34" spans="1:8" x14ac:dyDescent="0.25">
      <c r="B34" s="22" t="s">
        <v>16</v>
      </c>
      <c r="C34" s="13"/>
      <c r="D34" s="23"/>
      <c r="E34" s="11">
        <v>2144006</v>
      </c>
      <c r="F34" s="13"/>
      <c r="G34" s="32">
        <f>G33+E34</f>
        <v>14340694</v>
      </c>
    </row>
    <row r="35" spans="1:8" x14ac:dyDescent="0.25">
      <c r="B35" s="22" t="s">
        <v>21</v>
      </c>
      <c r="C35" s="13"/>
      <c r="D35" s="23"/>
      <c r="E35" s="25">
        <f>SUM(E32:E34)</f>
        <v>14340694</v>
      </c>
      <c r="F35" s="13"/>
      <c r="G35" s="21"/>
    </row>
    <row r="36" spans="1:8" x14ac:dyDescent="0.25">
      <c r="B36" s="33"/>
      <c r="C36" s="12"/>
      <c r="D36" s="10"/>
      <c r="E36" s="11"/>
      <c r="F36" s="12"/>
      <c r="G36" s="34"/>
    </row>
    <row r="37" spans="1:8" x14ac:dyDescent="0.25">
      <c r="B37" s="13"/>
      <c r="C37" s="13"/>
      <c r="D37" s="23"/>
      <c r="E37" s="25"/>
      <c r="F37" s="13"/>
      <c r="G37" s="13"/>
    </row>
    <row r="38" spans="1:8" x14ac:dyDescent="0.25">
      <c r="B38" s="40"/>
      <c r="C38" s="16"/>
      <c r="D38" s="17"/>
      <c r="E38" s="41"/>
      <c r="F38" s="16"/>
      <c r="G38" s="19"/>
    </row>
    <row r="39" spans="1:8" x14ac:dyDescent="0.25">
      <c r="B39" s="22"/>
      <c r="C39" s="13" t="s">
        <v>14</v>
      </c>
      <c r="D39" s="23" t="s">
        <v>28</v>
      </c>
      <c r="E39" s="25">
        <f>E32+E16</f>
        <v>15045280</v>
      </c>
      <c r="F39" s="13"/>
      <c r="G39" s="21"/>
    </row>
    <row r="40" spans="1:8" x14ac:dyDescent="0.25">
      <c r="B40" s="22"/>
      <c r="C40" s="28" t="s">
        <v>26</v>
      </c>
      <c r="D40" s="29">
        <f>F44/E44</f>
        <v>24.667784885802643</v>
      </c>
      <c r="E40" s="25">
        <f>E33+E17</f>
        <v>14721610</v>
      </c>
      <c r="F40" s="13"/>
      <c r="G40" s="32">
        <f>E40+E39</f>
        <v>29766890</v>
      </c>
      <c r="H40" s="4"/>
    </row>
    <row r="41" spans="1:8" x14ac:dyDescent="0.25">
      <c r="B41" s="22"/>
      <c r="C41" s="28" t="s">
        <v>27</v>
      </c>
      <c r="D41" s="23">
        <v>20</v>
      </c>
      <c r="E41" s="25">
        <f>E34+E18</f>
        <v>5888121</v>
      </c>
      <c r="F41" s="13"/>
      <c r="G41" s="32">
        <f>G40+E41</f>
        <v>35655011</v>
      </c>
      <c r="H41" s="5">
        <f>E41*D41</f>
        <v>117762420</v>
      </c>
    </row>
    <row r="42" spans="1:8" x14ac:dyDescent="0.25">
      <c r="B42" s="22"/>
      <c r="C42" s="28" t="s">
        <v>29</v>
      </c>
      <c r="D42" s="23">
        <v>18.899999999999999</v>
      </c>
      <c r="E42" s="25">
        <f>SUM(E39:E41)</f>
        <v>35655011</v>
      </c>
      <c r="F42" s="13"/>
      <c r="G42" s="42"/>
      <c r="H42" s="4">
        <f>SUM(H40:H41)</f>
        <v>117762420</v>
      </c>
    </row>
    <row r="43" spans="1:8" x14ac:dyDescent="0.25">
      <c r="B43" s="22"/>
      <c r="C43" s="28"/>
      <c r="D43" s="23"/>
      <c r="E43" s="25"/>
      <c r="F43" s="13"/>
      <c r="G43" s="21"/>
      <c r="H43" s="5">
        <f>SUM(E41:E41)</f>
        <v>5888121</v>
      </c>
    </row>
    <row r="44" spans="1:8" x14ac:dyDescent="0.25">
      <c r="B44" s="22"/>
      <c r="C44" s="28" t="s">
        <v>47</v>
      </c>
      <c r="D44" s="13"/>
      <c r="E44" s="25">
        <f>E13+E29</f>
        <v>257952421</v>
      </c>
      <c r="F44" s="25">
        <f>F12+F28</f>
        <v>6363114832</v>
      </c>
      <c r="G44" s="21"/>
      <c r="H44">
        <f>H42/H43</f>
        <v>20</v>
      </c>
    </row>
    <row r="45" spans="1:8" x14ac:dyDescent="0.25">
      <c r="B45" s="33"/>
      <c r="C45" s="43"/>
      <c r="D45" s="44"/>
      <c r="E45" s="11"/>
      <c r="F45" s="11"/>
      <c r="G45" s="34"/>
    </row>
    <row r="46" spans="1:8" x14ac:dyDescent="0.25">
      <c r="B46" t="s">
        <v>24</v>
      </c>
    </row>
    <row r="47" spans="1:8" ht="29.25" customHeight="1" x14ac:dyDescent="0.25">
      <c r="A47" s="14">
        <v>1</v>
      </c>
      <c r="B47" s="539" t="s">
        <v>22</v>
      </c>
      <c r="C47" s="539"/>
      <c r="D47" s="539"/>
      <c r="E47" s="539"/>
      <c r="F47" s="539"/>
      <c r="G47" s="539"/>
    </row>
    <row r="48" spans="1:8" x14ac:dyDescent="0.25">
      <c r="A48">
        <v>2</v>
      </c>
      <c r="B48" t="s">
        <v>18</v>
      </c>
    </row>
    <row r="49" spans="1:7" x14ac:dyDescent="0.25">
      <c r="A49">
        <v>3</v>
      </c>
      <c r="B49" s="539" t="s">
        <v>23</v>
      </c>
      <c r="C49" s="539"/>
      <c r="D49" s="539"/>
      <c r="E49" s="539"/>
      <c r="F49" s="539"/>
      <c r="G49" s="539"/>
    </row>
    <row r="50" spans="1:7" x14ac:dyDescent="0.25">
      <c r="B50" s="539"/>
      <c r="C50" s="539"/>
      <c r="D50" s="539"/>
      <c r="E50" s="539"/>
      <c r="F50" s="539"/>
      <c r="G50" s="539"/>
    </row>
  </sheetData>
  <mergeCells count="5">
    <mergeCell ref="B47:G47"/>
    <mergeCell ref="B49:G50"/>
    <mergeCell ref="B1:G1"/>
    <mergeCell ref="B2:G2"/>
    <mergeCell ref="B3:G3"/>
  </mergeCells>
  <pageMargins left="0.25" right="0.25" top="0.75" bottom="0.75" header="0.3" footer="0.3"/>
  <pageSetup scale="8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F53"/>
  <sheetViews>
    <sheetView showGridLines="0" topLeftCell="A19" zoomScaleNormal="100" workbookViewId="0">
      <selection activeCell="F7" sqref="F7"/>
    </sheetView>
  </sheetViews>
  <sheetFormatPr defaultColWidth="9.140625" defaultRowHeight="15" x14ac:dyDescent="0.25"/>
  <cols>
    <col min="1" max="1" width="3.5703125" style="49" customWidth="1"/>
    <col min="2" max="3" width="5" style="49" bestFit="1" customWidth="1"/>
    <col min="4" max="4" width="14.7109375" style="49" customWidth="1"/>
    <col min="5" max="5" width="6.28515625" style="49" customWidth="1"/>
    <col min="6" max="6" width="12.28515625" style="49" customWidth="1"/>
    <col min="7" max="7" width="13" style="49" bestFit="1" customWidth="1"/>
    <col min="8" max="8" width="9.5703125" style="49" bestFit="1" customWidth="1"/>
    <col min="9" max="9" width="11.85546875" style="49" bestFit="1" customWidth="1"/>
    <col min="10" max="10" width="14.85546875" style="49" customWidth="1"/>
    <col min="11" max="12" width="11.85546875" style="49" customWidth="1"/>
    <col min="13" max="13" width="12.28515625" style="49" customWidth="1"/>
    <col min="14" max="14" width="9.28515625" style="49" customWidth="1"/>
    <col min="15" max="15" width="11.28515625" style="49" customWidth="1"/>
    <col min="16" max="16" width="15.140625" style="49" bestFit="1" customWidth="1"/>
    <col min="17" max="17" width="7" style="49" customWidth="1"/>
    <col min="18" max="18" width="15.5703125" style="49" bestFit="1" customWidth="1"/>
    <col min="19" max="19" width="14" style="50" hidden="1" customWidth="1"/>
    <col min="20" max="20" width="15.28515625" style="49" hidden="1" customWidth="1"/>
    <col min="21" max="21" width="4" style="49" customWidth="1"/>
    <col min="22" max="22" width="14.28515625" style="73" bestFit="1" customWidth="1"/>
    <col min="23" max="23" width="14" style="49" bestFit="1" customWidth="1"/>
    <col min="24" max="28" width="9.140625" style="49"/>
    <col min="29" max="29" width="4.85546875" style="49" customWidth="1"/>
    <col min="30" max="31" width="9.140625" style="49"/>
    <col min="32" max="32" width="12.5703125" style="215" bestFit="1" customWidth="1"/>
    <col min="33" max="16384" width="9.140625" style="49"/>
  </cols>
  <sheetData>
    <row r="1" spans="1:32" ht="11.25" customHeight="1" thickBot="1" x14ac:dyDescent="0.3"/>
    <row r="2" spans="1:32" ht="27.75" thickTop="1" thickBot="1" x14ac:dyDescent="0.45">
      <c r="D2" s="214" t="s">
        <v>149</v>
      </c>
      <c r="G2" s="246" t="s">
        <v>141</v>
      </c>
      <c r="H2" s="244">
        <v>7.4999999999999997E-2</v>
      </c>
      <c r="J2" s="246" t="s">
        <v>141</v>
      </c>
      <c r="K2" s="244">
        <v>7.4999999999999997E-2</v>
      </c>
      <c r="M2" s="246" t="s">
        <v>141</v>
      </c>
      <c r="N2" s="244">
        <v>7.4999999999999997E-2</v>
      </c>
    </row>
    <row r="3" spans="1:32" ht="27.75" thickTop="1" thickBot="1" x14ac:dyDescent="0.45">
      <c r="D3" s="214" t="s">
        <v>264</v>
      </c>
      <c r="G3" s="247" t="s">
        <v>142</v>
      </c>
      <c r="H3" s="244">
        <v>0.03</v>
      </c>
      <c r="J3" s="247" t="s">
        <v>142</v>
      </c>
      <c r="K3" s="244">
        <v>0.03</v>
      </c>
      <c r="M3" s="247" t="s">
        <v>142</v>
      </c>
      <c r="N3" s="244">
        <v>0.03</v>
      </c>
    </row>
    <row r="4" spans="1:32" ht="15.75" thickTop="1" x14ac:dyDescent="0.25">
      <c r="G4" s="248"/>
      <c r="H4" s="250"/>
      <c r="J4" s="248"/>
      <c r="K4" s="250"/>
      <c r="M4" s="248"/>
      <c r="N4" s="250"/>
    </row>
    <row r="5" spans="1:32" x14ac:dyDescent="0.25">
      <c r="G5" s="248" t="s">
        <v>143</v>
      </c>
      <c r="H5" s="250">
        <v>5</v>
      </c>
      <c r="J5" s="248" t="s">
        <v>143</v>
      </c>
      <c r="K5" s="250">
        <v>5</v>
      </c>
      <c r="M5" s="248" t="s">
        <v>143</v>
      </c>
      <c r="N5" s="250">
        <v>5</v>
      </c>
      <c r="W5" s="540"/>
      <c r="X5" s="540"/>
      <c r="Y5" s="540"/>
      <c r="Z5" s="540"/>
      <c r="AA5" s="540"/>
      <c r="AB5" s="540"/>
    </row>
    <row r="6" spans="1:32" x14ac:dyDescent="0.25">
      <c r="G6" s="248" t="s">
        <v>144</v>
      </c>
      <c r="H6" s="251">
        <f>H15+1-H5</f>
        <v>26</v>
      </c>
      <c r="J6" s="248" t="s">
        <v>144</v>
      </c>
      <c r="K6" s="251">
        <f>K16+1-K5</f>
        <v>26</v>
      </c>
      <c r="M6" s="248" t="s">
        <v>144</v>
      </c>
      <c r="N6" s="251">
        <f>N16+1-N5</f>
        <v>26</v>
      </c>
    </row>
    <row r="7" spans="1:32" x14ac:dyDescent="0.25">
      <c r="G7" s="248" t="s">
        <v>145</v>
      </c>
      <c r="H7" s="252">
        <f>1/(-PMT((1+H2)/(1+H3)-1,H5,1,0,1))</f>
        <v>4.5985546446254109</v>
      </c>
      <c r="J7" s="248" t="s">
        <v>145</v>
      </c>
      <c r="K7" s="252">
        <f>1/(-PMT((1+K2)/(1+K3)-1,K5,1,0,1))</f>
        <v>4.5985546446254109</v>
      </c>
      <c r="M7" s="248" t="s">
        <v>145</v>
      </c>
      <c r="N7" s="252">
        <f>1/(-PMT((1+N2)/(1+N3)-1,N5,1,0,1))</f>
        <v>4.5985546446254109</v>
      </c>
    </row>
    <row r="8" spans="1:32" x14ac:dyDescent="0.25">
      <c r="G8" s="249" t="s">
        <v>146</v>
      </c>
      <c r="H8" s="253">
        <f>1/(-PMT((1+H2)/(1+H3)-1,H6,1,0,1)*(1+H2)^0.5)</f>
        <v>15.461009016959615</v>
      </c>
      <c r="J8" s="249" t="s">
        <v>146</v>
      </c>
      <c r="K8" s="253">
        <f>1/(-PMT((1+K2)/(1+K3)-1,K6,1,0,1)*(1+K2)^0.5)</f>
        <v>15.461009016959615</v>
      </c>
      <c r="M8" s="249" t="s">
        <v>146</v>
      </c>
      <c r="N8" s="253">
        <f>1/(-PMT((1+N2)/(1+N3)-1,N6,1,0,1)*(1+N2)^0.5)</f>
        <v>15.461009016959615</v>
      </c>
    </row>
    <row r="9" spans="1:32" ht="15.75" thickBot="1" x14ac:dyDescent="0.3"/>
    <row r="10" spans="1:32" x14ac:dyDescent="0.25">
      <c r="C10" s="282"/>
      <c r="D10" s="590" t="s">
        <v>159</v>
      </c>
      <c r="E10" s="591"/>
      <c r="F10" s="591"/>
      <c r="G10" s="591"/>
      <c r="H10" s="591"/>
      <c r="I10" s="591"/>
      <c r="J10" s="591"/>
      <c r="K10" s="591"/>
      <c r="L10" s="591"/>
      <c r="M10" s="591"/>
      <c r="N10" s="591"/>
      <c r="O10" s="591"/>
      <c r="P10" s="591"/>
      <c r="Q10" s="591"/>
      <c r="R10" s="592"/>
      <c r="S10" s="280"/>
      <c r="T10" s="281"/>
      <c r="U10" s="219"/>
    </row>
    <row r="11" spans="1:32" x14ac:dyDescent="0.25">
      <c r="D11" s="288"/>
      <c r="E11" s="289" t="s">
        <v>155</v>
      </c>
      <c r="F11" s="290"/>
      <c r="G11" s="30"/>
      <c r="H11" s="254" t="s">
        <v>156</v>
      </c>
      <c r="I11" s="254"/>
      <c r="J11" s="30"/>
      <c r="K11" s="254" t="s">
        <v>157</v>
      </c>
      <c r="L11" s="254"/>
      <c r="M11" s="304"/>
      <c r="N11" s="308" t="s">
        <v>164</v>
      </c>
      <c r="O11" s="305"/>
      <c r="P11" s="576" t="s">
        <v>114</v>
      </c>
      <c r="Q11" s="577"/>
      <c r="R11" s="578"/>
      <c r="S11" s="284"/>
      <c r="T11" s="285"/>
      <c r="U11" s="217"/>
    </row>
    <row r="12" spans="1:32" x14ac:dyDescent="0.25">
      <c r="C12" s="108"/>
      <c r="D12" s="593" t="s">
        <v>147</v>
      </c>
      <c r="E12" s="594"/>
      <c r="F12" s="594"/>
      <c r="G12" s="595" t="s">
        <v>163</v>
      </c>
      <c r="H12" s="596"/>
      <c r="I12" s="597"/>
      <c r="J12" s="595" t="s">
        <v>148</v>
      </c>
      <c r="K12" s="596"/>
      <c r="L12" s="597"/>
      <c r="M12" s="595" t="s">
        <v>148</v>
      </c>
      <c r="N12" s="596"/>
      <c r="O12" s="597"/>
      <c r="P12" s="565" t="s">
        <v>53</v>
      </c>
      <c r="Q12" s="566"/>
      <c r="R12" s="567"/>
      <c r="S12" s="286"/>
      <c r="T12" s="287"/>
      <c r="U12" s="218"/>
    </row>
    <row r="13" spans="1:32" x14ac:dyDescent="0.25">
      <c r="B13" s="49" t="s">
        <v>161</v>
      </c>
      <c r="C13" s="88" t="s">
        <v>162</v>
      </c>
      <c r="D13" s="74" t="s">
        <v>49</v>
      </c>
      <c r="E13" s="75" t="s">
        <v>50</v>
      </c>
      <c r="F13" s="76" t="s">
        <v>51</v>
      </c>
      <c r="G13" s="77" t="s">
        <v>49</v>
      </c>
      <c r="H13" s="78" t="s">
        <v>50</v>
      </c>
      <c r="I13" s="78" t="s">
        <v>51</v>
      </c>
      <c r="J13" s="77" t="s">
        <v>49</v>
      </c>
      <c r="K13" s="78" t="s">
        <v>50</v>
      </c>
      <c r="L13" s="78" t="s">
        <v>51</v>
      </c>
      <c r="M13" s="74" t="s">
        <v>49</v>
      </c>
      <c r="N13" s="75" t="s">
        <v>50</v>
      </c>
      <c r="O13" s="75" t="s">
        <v>51</v>
      </c>
      <c r="P13" s="122" t="s">
        <v>49</v>
      </c>
      <c r="Q13" s="123" t="s">
        <v>52</v>
      </c>
      <c r="R13" s="294" t="s">
        <v>51</v>
      </c>
      <c r="S13" s="118"/>
      <c r="T13" s="140"/>
      <c r="U13" s="88"/>
    </row>
    <row r="14" spans="1:32" ht="15.75" thickBot="1" x14ac:dyDescent="0.3">
      <c r="B14" s="49">
        <v>2013</v>
      </c>
      <c r="C14" s="49">
        <f>B14+3</f>
        <v>2016</v>
      </c>
      <c r="D14" s="87"/>
      <c r="E14" s="88"/>
      <c r="F14" s="88"/>
      <c r="G14" s="69"/>
      <c r="H14" s="70"/>
      <c r="I14" s="70"/>
      <c r="J14" s="306">
        <v>10245755</v>
      </c>
      <c r="K14" s="70"/>
      <c r="L14" s="70"/>
      <c r="M14" s="69"/>
      <c r="N14" s="70"/>
      <c r="O14" s="70"/>
      <c r="P14" s="124">
        <v>101203363</v>
      </c>
      <c r="Q14" s="125"/>
      <c r="R14" s="295"/>
      <c r="S14" s="71"/>
      <c r="T14" s="141"/>
      <c r="U14" s="111"/>
    </row>
    <row r="15" spans="1:32" ht="16.5" thickTop="1" thickBot="1" x14ac:dyDescent="0.3">
      <c r="B15" s="49">
        <f>B14+1</f>
        <v>2014</v>
      </c>
      <c r="C15" s="49">
        <f t="shared" ref="C15:C45" si="0">B15+3</f>
        <v>2017</v>
      </c>
      <c r="D15" s="87"/>
      <c r="E15" s="75"/>
      <c r="F15" s="75"/>
      <c r="G15" s="291">
        <v>-28041895</v>
      </c>
      <c r="H15" s="292">
        <v>30</v>
      </c>
      <c r="I15" s="58">
        <f>IF(H15&gt;0,-PMT((1+H2)/(1+H3)-1,H6,G15,0,1)*((1+H2)^0.5)/H7,0)</f>
        <v>-394410.23260558891</v>
      </c>
      <c r="J15" s="307">
        <v>10864793</v>
      </c>
      <c r="K15" s="78"/>
      <c r="L15" s="78"/>
      <c r="M15" s="54"/>
      <c r="N15" s="78"/>
      <c r="O15" s="78"/>
      <c r="P15" s="92">
        <v>100876936</v>
      </c>
      <c r="Q15" s="255"/>
      <c r="R15" s="296"/>
      <c r="S15" s="68"/>
      <c r="T15" s="142"/>
      <c r="U15" s="111"/>
    </row>
    <row r="16" spans="1:32" ht="16.5" thickTop="1" thickBot="1" x14ac:dyDescent="0.3">
      <c r="A16" s="49">
        <v>1</v>
      </c>
      <c r="B16" s="49">
        <f>B15+1</f>
        <v>2015</v>
      </c>
      <c r="C16" s="49">
        <f t="shared" si="0"/>
        <v>2018</v>
      </c>
      <c r="D16" s="293">
        <v>118168306</v>
      </c>
      <c r="E16" s="245">
        <v>17</v>
      </c>
      <c r="F16" s="56">
        <f>-PMT(1.075/1.03-1,E16,D16*1.075^0.5,0,1)</f>
        <v>9927463.7644708678</v>
      </c>
      <c r="G16" s="54">
        <f>G15*1.07-I15*1.07^0.5</f>
        <v>-29596846.533041295</v>
      </c>
      <c r="H16" s="63">
        <f>H15-1</f>
        <v>29</v>
      </c>
      <c r="I16" s="56">
        <f t="shared" ref="I16:I32" si="1">I$15*MIN(H$5,H$15+1-H16)*(1+H$3)^(H$15-H16)*IF(H16&lt;H$5,H16/H$5,1)</f>
        <v>-812485.07916751318</v>
      </c>
      <c r="J16" s="200">
        <v>11521602</v>
      </c>
      <c r="K16" s="245">
        <v>30</v>
      </c>
      <c r="L16" s="56">
        <f>IF(K16&gt;0,-PMT((1+K2)/(1+K3)-1,K6,J16,0,1)*((1+K2)^0.5)/K7,0)</f>
        <v>162051.73454964507</v>
      </c>
      <c r="M16" s="299">
        <f>M15*1.075</f>
        <v>0</v>
      </c>
      <c r="N16" s="245">
        <v>30</v>
      </c>
      <c r="O16" s="56">
        <f>IF(N16&gt;0,-PMT((1+N2)/(1+N3)-1,N6,M16,0,1)*((1+N2)^0.5)/N7,0)</f>
        <v>0</v>
      </c>
      <c r="P16" s="200">
        <f>D16+G16+J16+M16</f>
        <v>100093061.4669587</v>
      </c>
      <c r="Q16" s="300">
        <v>30</v>
      </c>
      <c r="R16" s="301">
        <f>F16+I16+L16+O16</f>
        <v>9277030.419853</v>
      </c>
      <c r="S16" s="71"/>
      <c r="T16" s="141"/>
      <c r="U16" s="111"/>
      <c r="AF16" s="216">
        <v>500000</v>
      </c>
    </row>
    <row r="17" spans="1:32" ht="15.75" thickTop="1" x14ac:dyDescent="0.25">
      <c r="A17" s="49">
        <f>A16+1</f>
        <v>2</v>
      </c>
      <c r="B17" s="489">
        <f t="shared" ref="B17:B45" si="2">B16+1</f>
        <v>2016</v>
      </c>
      <c r="C17" s="49">
        <f t="shared" si="0"/>
        <v>2019</v>
      </c>
      <c r="D17" s="54">
        <f>D16*1.07375-F16*1.07375^0.5</f>
        <v>116596191.11135384</v>
      </c>
      <c r="E17" s="63">
        <f>E16-1</f>
        <v>16</v>
      </c>
      <c r="F17" s="56">
        <f>-PMT(1.07375/1.03-1,E17,D17*1.07375^0.5,0,1)</f>
        <v>10128733.709049543</v>
      </c>
      <c r="G17" s="54">
        <f t="shared" ref="G17:G32" si="3">G16*1.07-I16*1.07^0.5</f>
        <v>-30828184.689419251</v>
      </c>
      <c r="H17" s="63">
        <f t="shared" ref="H17:H44" si="4">H16-1</f>
        <v>28</v>
      </c>
      <c r="I17" s="56">
        <f t="shared" si="1"/>
        <v>-1255289.4473138079</v>
      </c>
      <c r="J17" s="54">
        <f>J16*1.07-L16*1.07^0.5</f>
        <v>12160486.522354556</v>
      </c>
      <c r="K17" s="63">
        <f>K16-1</f>
        <v>29</v>
      </c>
      <c r="L17" s="56">
        <f>L$16*MIN(K$5,K$16+1-K17)*(1+K$3)^(K$16-K17)*IF(K17&lt;K$5,K17/K$5,1)</f>
        <v>333826.57317226887</v>
      </c>
      <c r="M17" s="54">
        <f>M16*1.075-O16*1.075^0.5</f>
        <v>0</v>
      </c>
      <c r="N17" s="63">
        <f>N16-1</f>
        <v>29</v>
      </c>
      <c r="O17" s="56">
        <f>O$16*MIN(N$5,N$16+1-N17)*(1+N$3)^(N$16-N17)*IF(N17&lt;N$5,N17/N$5,1)</f>
        <v>0</v>
      </c>
      <c r="P17" s="54">
        <f t="shared" ref="P17:P45" si="5">D17+G17+J17+M17</f>
        <v>97928492.944289148</v>
      </c>
      <c r="Q17" s="63">
        <f>Q16-1</f>
        <v>29</v>
      </c>
      <c r="R17" s="297">
        <f>F17+I17+L17+O17</f>
        <v>9207270.8349080049</v>
      </c>
      <c r="S17" s="63"/>
      <c r="T17" s="142"/>
      <c r="U17" s="111"/>
      <c r="AF17" s="216">
        <v>500000</v>
      </c>
    </row>
    <row r="18" spans="1:32" x14ac:dyDescent="0.25">
      <c r="A18" s="49">
        <f t="shared" ref="A18:A45" si="6">A17+1</f>
        <v>3</v>
      </c>
      <c r="B18" s="489">
        <f t="shared" si="2"/>
        <v>2017</v>
      </c>
      <c r="C18" s="49">
        <f t="shared" si="0"/>
        <v>2020</v>
      </c>
      <c r="D18" s="54">
        <f>D17*1.0725-F17*1.0725^0.5</f>
        <v>114559938.72053474</v>
      </c>
      <c r="E18" s="63">
        <f t="shared" ref="E18:E32" si="7">E17-1</f>
        <v>15</v>
      </c>
      <c r="F18" s="56">
        <f>-PMT(1.0725/1.03-1,E18,D18*1.0725^0.5,0,1)</f>
        <v>10338419.764752477</v>
      </c>
      <c r="G18" s="54">
        <f t="shared" si="3"/>
        <v>-31687676.116734125</v>
      </c>
      <c r="H18" s="63">
        <f t="shared" si="4"/>
        <v>27</v>
      </c>
      <c r="I18" s="56">
        <f t="shared" si="1"/>
        <v>-1723930.8409776294</v>
      </c>
      <c r="J18" s="54">
        <f t="shared" ref="J18:J45" si="8">J17*1.07-L17*1.07^0.5</f>
        <v>12666407.686569761</v>
      </c>
      <c r="K18" s="63">
        <f t="shared" ref="K18:K45" si="9">K17-1</f>
        <v>28</v>
      </c>
      <c r="L18" s="56">
        <f t="shared" ref="L18:L45" si="10">L$16*MIN(K$5,K$16+1-K18)*(1+K$3)^(K$16-K18)*IF(K18&lt;K$5,K18/K$5,1)</f>
        <v>515762.0555511553</v>
      </c>
      <c r="M18" s="54">
        <f t="shared" ref="M18:M45" si="11">M17*1.075-O17*1.075^0.5</f>
        <v>0</v>
      </c>
      <c r="N18" s="63">
        <f t="shared" ref="N18:N45" si="12">N17-1</f>
        <v>28</v>
      </c>
      <c r="O18" s="56">
        <f t="shared" ref="O18:O45" si="13">O$16*MIN(N$5,N$16+1-N18)*(1+N$3)^(N$16-N18)*IF(N18&lt;N$5,N18/N$5,1)</f>
        <v>0</v>
      </c>
      <c r="P18" s="54">
        <f t="shared" si="5"/>
        <v>95538670.29037039</v>
      </c>
      <c r="Q18" s="63">
        <f t="shared" ref="Q18:Q45" si="14">Q17-1</f>
        <v>28</v>
      </c>
      <c r="R18" s="297">
        <f>F18+I18+L18+O18</f>
        <v>9130250.9793260023</v>
      </c>
      <c r="S18" s="63"/>
      <c r="T18" s="142"/>
      <c r="U18" s="111"/>
      <c r="AF18" s="216">
        <v>500000</v>
      </c>
    </row>
    <row r="19" spans="1:32" x14ac:dyDescent="0.25">
      <c r="A19" s="49">
        <f t="shared" si="6"/>
        <v>4</v>
      </c>
      <c r="B19" s="489">
        <f t="shared" si="2"/>
        <v>2018</v>
      </c>
      <c r="C19" s="49">
        <f t="shared" si="0"/>
        <v>2021</v>
      </c>
      <c r="D19" s="54">
        <f>D18*1.07-F18*1.07^0.5</f>
        <v>111884989.87151907</v>
      </c>
      <c r="E19" s="63">
        <f t="shared" si="7"/>
        <v>14</v>
      </c>
      <c r="F19" s="56">
        <f>-PMT(1.07/1.03-1,E19,D19*1.07^0.5,0,1)</f>
        <v>10465940.32894823</v>
      </c>
      <c r="G19" s="54">
        <f t="shared" si="3"/>
        <v>-32122565.516941763</v>
      </c>
      <c r="H19" s="63">
        <f t="shared" si="4"/>
        <v>26</v>
      </c>
      <c r="I19" s="56">
        <f t="shared" si="1"/>
        <v>-2219560.9577586977</v>
      </c>
      <c r="J19" s="54">
        <f t="shared" si="8"/>
        <v>13019547.805949492</v>
      </c>
      <c r="K19" s="63">
        <f t="shared" si="9"/>
        <v>27</v>
      </c>
      <c r="L19" s="56">
        <f t="shared" si="10"/>
        <v>708313.22295692004</v>
      </c>
      <c r="M19" s="54">
        <f t="shared" si="11"/>
        <v>0</v>
      </c>
      <c r="N19" s="63">
        <f t="shared" si="12"/>
        <v>27</v>
      </c>
      <c r="O19" s="56">
        <f t="shared" si="13"/>
        <v>0</v>
      </c>
      <c r="P19" s="54">
        <f t="shared" si="5"/>
        <v>92781972.160526797</v>
      </c>
      <c r="Q19" s="63">
        <f t="shared" si="14"/>
        <v>27</v>
      </c>
      <c r="R19" s="297">
        <f>F19+I19+L19+O19</f>
        <v>8954692.5941464528</v>
      </c>
      <c r="S19" s="63"/>
      <c r="T19" s="142"/>
      <c r="U19" s="111"/>
      <c r="AF19" s="216">
        <v>500000</v>
      </c>
    </row>
    <row r="20" spans="1:32" x14ac:dyDescent="0.25">
      <c r="A20" s="49">
        <f t="shared" si="6"/>
        <v>5</v>
      </c>
      <c r="B20" s="49">
        <f t="shared" si="2"/>
        <v>2019</v>
      </c>
      <c r="C20" s="49">
        <f t="shared" si="0"/>
        <v>2022</v>
      </c>
      <c r="D20" s="54">
        <f t="shared" ref="D20:D32" si="15">D19*1.07-F19*1.07^0.5</f>
        <v>108890886.30578476</v>
      </c>
      <c r="E20" s="63">
        <f t="shared" si="7"/>
        <v>13</v>
      </c>
      <c r="F20" s="56">
        <f t="shared" ref="F20:F32" si="16">-PMT(1.07/1.03-1,E20,D20*1.07^0.5,0,1)</f>
        <v>10779918.538816681</v>
      </c>
      <c r="G20" s="54">
        <f t="shared" si="3"/>
        <v>-32075213.395874362</v>
      </c>
      <c r="H20" s="63">
        <f t="shared" si="4"/>
        <v>25</v>
      </c>
      <c r="I20" s="56">
        <f t="shared" si="1"/>
        <v>-2286147.7864914583</v>
      </c>
      <c r="J20" s="54">
        <f t="shared" si="8"/>
        <v>13198231.257378548</v>
      </c>
      <c r="K20" s="63">
        <f t="shared" si="9"/>
        <v>26</v>
      </c>
      <c r="L20" s="56">
        <f t="shared" si="10"/>
        <v>911953.27455703449</v>
      </c>
      <c r="M20" s="54">
        <f t="shared" si="11"/>
        <v>0</v>
      </c>
      <c r="N20" s="63">
        <f t="shared" si="12"/>
        <v>26</v>
      </c>
      <c r="O20" s="56">
        <f t="shared" si="13"/>
        <v>0</v>
      </c>
      <c r="P20" s="54">
        <f t="shared" si="5"/>
        <v>90013904.167288944</v>
      </c>
      <c r="Q20" s="63">
        <f t="shared" si="14"/>
        <v>26</v>
      </c>
      <c r="R20" s="297">
        <f t="shared" ref="R20:R45" si="17">F20+I20+L20+O20</f>
        <v>9405724.0268822573</v>
      </c>
      <c r="S20" s="63"/>
      <c r="T20" s="142"/>
      <c r="U20" s="111"/>
      <c r="AF20" s="216">
        <v>500000</v>
      </c>
    </row>
    <row r="21" spans="1:32" x14ac:dyDescent="0.25">
      <c r="A21" s="49">
        <f t="shared" si="6"/>
        <v>6</v>
      </c>
      <c r="B21" s="49">
        <f t="shared" si="2"/>
        <v>2020</v>
      </c>
      <c r="C21" s="49">
        <f t="shared" si="0"/>
        <v>2023</v>
      </c>
      <c r="D21" s="54">
        <f t="shared" si="15"/>
        <v>105362413.90474683</v>
      </c>
      <c r="E21" s="63">
        <f t="shared" si="7"/>
        <v>12</v>
      </c>
      <c r="F21" s="56">
        <f t="shared" si="16"/>
        <v>11103316.094981181</v>
      </c>
      <c r="G21" s="54">
        <f t="shared" si="3"/>
        <v>-31955668.675114643</v>
      </c>
      <c r="H21" s="63">
        <f t="shared" si="4"/>
        <v>24</v>
      </c>
      <c r="I21" s="56">
        <f t="shared" si="1"/>
        <v>-2354732.2200862025</v>
      </c>
      <c r="J21" s="54">
        <f t="shared" si="8"/>
        <v>13178775.643098757</v>
      </c>
      <c r="K21" s="63">
        <f t="shared" si="9"/>
        <v>25</v>
      </c>
      <c r="L21" s="56">
        <f t="shared" si="10"/>
        <v>939311.87279374548</v>
      </c>
      <c r="M21" s="54">
        <f t="shared" si="11"/>
        <v>0</v>
      </c>
      <c r="N21" s="63">
        <f t="shared" si="12"/>
        <v>25</v>
      </c>
      <c r="O21" s="56">
        <f t="shared" si="13"/>
        <v>0</v>
      </c>
      <c r="P21" s="54">
        <f t="shared" si="5"/>
        <v>86585520.872730941</v>
      </c>
      <c r="Q21" s="63">
        <f t="shared" si="14"/>
        <v>25</v>
      </c>
      <c r="R21" s="297">
        <f t="shared" si="17"/>
        <v>9687895.7476887237</v>
      </c>
      <c r="S21" s="63"/>
      <c r="T21" s="142"/>
      <c r="U21" s="111"/>
      <c r="AF21" s="216">
        <v>500000</v>
      </c>
    </row>
    <row r="22" spans="1:32" x14ac:dyDescent="0.25">
      <c r="A22" s="49">
        <f t="shared" si="6"/>
        <v>7</v>
      </c>
      <c r="B22" s="49">
        <f t="shared" si="2"/>
        <v>2021</v>
      </c>
      <c r="C22" s="49">
        <f t="shared" si="0"/>
        <v>2024</v>
      </c>
      <c r="D22" s="54">
        <f t="shared" si="15"/>
        <v>101252423.40236296</v>
      </c>
      <c r="E22" s="63">
        <f t="shared" si="7"/>
        <v>11</v>
      </c>
      <c r="F22" s="56">
        <f t="shared" si="16"/>
        <v>11436415.577830616</v>
      </c>
      <c r="G22" s="54">
        <f t="shared" si="3"/>
        <v>-31756811.534147616</v>
      </c>
      <c r="H22" s="63">
        <f t="shared" si="4"/>
        <v>23</v>
      </c>
      <c r="I22" s="56">
        <f t="shared" si="1"/>
        <v>-2425374.1866887887</v>
      </c>
      <c r="J22" s="54">
        <f t="shared" si="8"/>
        <v>13129658.181750491</v>
      </c>
      <c r="K22" s="63">
        <f t="shared" si="9"/>
        <v>24</v>
      </c>
      <c r="L22" s="56">
        <f t="shared" si="10"/>
        <v>967491.22897755797</v>
      </c>
      <c r="M22" s="54">
        <f t="shared" si="11"/>
        <v>0</v>
      </c>
      <c r="N22" s="63">
        <f t="shared" si="12"/>
        <v>24</v>
      </c>
      <c r="O22" s="56">
        <f t="shared" si="13"/>
        <v>0</v>
      </c>
      <c r="P22" s="54">
        <f t="shared" si="5"/>
        <v>82625270.049965829</v>
      </c>
      <c r="Q22" s="63">
        <f t="shared" si="14"/>
        <v>24</v>
      </c>
      <c r="R22" s="297">
        <f t="shared" si="17"/>
        <v>9978532.6201193854</v>
      </c>
      <c r="S22" s="63"/>
      <c r="T22" s="142"/>
      <c r="U22" s="111"/>
      <c r="AF22" s="216">
        <v>500000</v>
      </c>
    </row>
    <row r="23" spans="1:32" x14ac:dyDescent="0.25">
      <c r="A23" s="49">
        <f t="shared" si="6"/>
        <v>8</v>
      </c>
      <c r="B23" s="49">
        <f t="shared" si="2"/>
        <v>2022</v>
      </c>
      <c r="C23" s="49">
        <f t="shared" si="0"/>
        <v>2025</v>
      </c>
      <c r="D23" s="54">
        <f t="shared" si="15"/>
        <v>96510172.780540735</v>
      </c>
      <c r="E23" s="63">
        <f t="shared" si="7"/>
        <v>10</v>
      </c>
      <c r="F23" s="56">
        <f t="shared" si="16"/>
        <v>11779508.045165539</v>
      </c>
      <c r="G23" s="54">
        <f t="shared" si="3"/>
        <v>-31470961.774866145</v>
      </c>
      <c r="H23" s="63">
        <f t="shared" si="4"/>
        <v>22</v>
      </c>
      <c r="I23" s="56">
        <f t="shared" si="1"/>
        <v>-2498135.4122894518</v>
      </c>
      <c r="J23" s="54">
        <f t="shared" si="8"/>
        <v>13047953.545416892</v>
      </c>
      <c r="K23" s="63">
        <f t="shared" si="9"/>
        <v>23</v>
      </c>
      <c r="L23" s="56">
        <f t="shared" si="10"/>
        <v>996515.96584688476</v>
      </c>
      <c r="M23" s="54">
        <f t="shared" si="11"/>
        <v>0</v>
      </c>
      <c r="N23" s="63">
        <f t="shared" si="12"/>
        <v>23</v>
      </c>
      <c r="O23" s="56">
        <f t="shared" si="13"/>
        <v>0</v>
      </c>
      <c r="P23" s="54">
        <f t="shared" si="5"/>
        <v>78087164.551091477</v>
      </c>
      <c r="Q23" s="63">
        <f t="shared" si="14"/>
        <v>23</v>
      </c>
      <c r="R23" s="297">
        <f t="shared" si="17"/>
        <v>10277888.598722972</v>
      </c>
      <c r="S23" s="63"/>
      <c r="T23" s="142"/>
      <c r="U23" s="111"/>
      <c r="AF23" s="216">
        <v>500000</v>
      </c>
    </row>
    <row r="24" spans="1:32" x14ac:dyDescent="0.25">
      <c r="A24" s="49">
        <f t="shared" si="6"/>
        <v>9</v>
      </c>
      <c r="B24" s="49">
        <f t="shared" si="2"/>
        <v>2023</v>
      </c>
      <c r="C24" s="49">
        <f t="shared" si="0"/>
        <v>2026</v>
      </c>
      <c r="D24" s="54">
        <f t="shared" si="15"/>
        <v>91081067.007391319</v>
      </c>
      <c r="E24" s="63">
        <f t="shared" si="7"/>
        <v>9</v>
      </c>
      <c r="F24" s="56">
        <f t="shared" si="16"/>
        <v>12132893.286520507</v>
      </c>
      <c r="G24" s="54">
        <f t="shared" si="3"/>
        <v>-31089837.735434815</v>
      </c>
      <c r="H24" s="63">
        <f t="shared" si="4"/>
        <v>21</v>
      </c>
      <c r="I24" s="56">
        <f t="shared" si="1"/>
        <v>-2573079.4746581358</v>
      </c>
      <c r="J24" s="54">
        <f t="shared" si="8"/>
        <v>12930506.163268255</v>
      </c>
      <c r="K24" s="63">
        <f t="shared" si="9"/>
        <v>22</v>
      </c>
      <c r="L24" s="56">
        <f t="shared" si="10"/>
        <v>1026411.4448222911</v>
      </c>
      <c r="M24" s="54">
        <f t="shared" si="11"/>
        <v>0</v>
      </c>
      <c r="N24" s="63">
        <f t="shared" si="12"/>
        <v>22</v>
      </c>
      <c r="O24" s="56">
        <f t="shared" si="13"/>
        <v>0</v>
      </c>
      <c r="P24" s="54">
        <f t="shared" si="5"/>
        <v>72921735.435224757</v>
      </c>
      <c r="Q24" s="63">
        <f t="shared" si="14"/>
        <v>22</v>
      </c>
      <c r="R24" s="297">
        <f t="shared" si="17"/>
        <v>10586225.256684663</v>
      </c>
      <c r="S24" s="63"/>
      <c r="T24" s="142"/>
      <c r="U24" s="111"/>
      <c r="AF24" s="216">
        <v>500000</v>
      </c>
    </row>
    <row r="25" spans="1:32" x14ac:dyDescent="0.25">
      <c r="A25" s="49">
        <f t="shared" si="6"/>
        <v>10</v>
      </c>
      <c r="B25" s="49">
        <f t="shared" si="2"/>
        <v>2024</v>
      </c>
      <c r="C25" s="49">
        <f t="shared" si="0"/>
        <v>2027</v>
      </c>
      <c r="D25" s="54">
        <f t="shared" si="15"/>
        <v>84906379.294087827</v>
      </c>
      <c r="E25" s="63">
        <f t="shared" si="7"/>
        <v>8</v>
      </c>
      <c r="F25" s="56">
        <f t="shared" si="16"/>
        <v>12496880.085116122</v>
      </c>
      <c r="G25" s="54">
        <f t="shared" si="3"/>
        <v>-30604512.272333134</v>
      </c>
      <c r="H25" s="63">
        <f t="shared" si="4"/>
        <v>20</v>
      </c>
      <c r="I25" s="56">
        <f t="shared" si="1"/>
        <v>-2650271.8588978797</v>
      </c>
      <c r="J25" s="54">
        <f t="shared" si="8"/>
        <v>12773913.34045938</v>
      </c>
      <c r="K25" s="63">
        <f t="shared" si="9"/>
        <v>21</v>
      </c>
      <c r="L25" s="56">
        <f t="shared" si="10"/>
        <v>1057203.78816696</v>
      </c>
      <c r="M25" s="54">
        <f t="shared" si="11"/>
        <v>0</v>
      </c>
      <c r="N25" s="63">
        <f t="shared" si="12"/>
        <v>21</v>
      </c>
      <c r="O25" s="56">
        <f t="shared" si="13"/>
        <v>0</v>
      </c>
      <c r="P25" s="54">
        <f t="shared" si="5"/>
        <v>67075780.362214074</v>
      </c>
      <c r="Q25" s="63">
        <f t="shared" si="14"/>
        <v>21</v>
      </c>
      <c r="R25" s="297">
        <f t="shared" si="17"/>
        <v>10903812.014385203</v>
      </c>
      <c r="S25" s="63"/>
      <c r="T25" s="142"/>
      <c r="U25" s="111"/>
      <c r="AF25" s="216">
        <v>500000</v>
      </c>
    </row>
    <row r="26" spans="1:32" x14ac:dyDescent="0.25">
      <c r="A26" s="49">
        <f t="shared" si="6"/>
        <v>11</v>
      </c>
      <c r="B26" s="49">
        <f t="shared" si="2"/>
        <v>2025</v>
      </c>
      <c r="C26" s="49">
        <f t="shared" si="0"/>
        <v>2028</v>
      </c>
      <c r="D26" s="54">
        <f t="shared" si="15"/>
        <v>77922952.568738461</v>
      </c>
      <c r="E26" s="63">
        <f t="shared" si="7"/>
        <v>7</v>
      </c>
      <c r="F26" s="56">
        <f t="shared" si="16"/>
        <v>12871786.487669604</v>
      </c>
      <c r="G26" s="54">
        <f t="shared" si="3"/>
        <v>-30005365.60367687</v>
      </c>
      <c r="H26" s="63">
        <f t="shared" si="4"/>
        <v>19</v>
      </c>
      <c r="I26" s="56">
        <f t="shared" si="1"/>
        <v>-2729780.0146648162</v>
      </c>
      <c r="J26" s="54">
        <f t="shared" si="8"/>
        <v>12574507.172426755</v>
      </c>
      <c r="K26" s="63">
        <f t="shared" si="9"/>
        <v>20</v>
      </c>
      <c r="L26" s="56">
        <f t="shared" si="10"/>
        <v>1088919.9018119688</v>
      </c>
      <c r="M26" s="54">
        <f t="shared" si="11"/>
        <v>0</v>
      </c>
      <c r="N26" s="63">
        <f t="shared" si="12"/>
        <v>20</v>
      </c>
      <c r="O26" s="56">
        <f t="shared" si="13"/>
        <v>0</v>
      </c>
      <c r="P26" s="54">
        <f t="shared" si="5"/>
        <v>60492094.137488343</v>
      </c>
      <c r="Q26" s="63">
        <f t="shared" si="14"/>
        <v>20</v>
      </c>
      <c r="R26" s="297">
        <f t="shared" si="17"/>
        <v>11230926.374816757</v>
      </c>
      <c r="S26" s="63"/>
      <c r="T26" s="142"/>
      <c r="U26" s="111"/>
      <c r="AF26" s="216">
        <v>500000</v>
      </c>
    </row>
    <row r="27" spans="1:32" x14ac:dyDescent="0.25">
      <c r="A27" s="49">
        <f t="shared" si="6"/>
        <v>12</v>
      </c>
      <c r="B27" s="49">
        <f t="shared" si="2"/>
        <v>2026</v>
      </c>
      <c r="C27" s="49">
        <f t="shared" si="0"/>
        <v>2029</v>
      </c>
      <c r="D27" s="54">
        <f t="shared" si="15"/>
        <v>70062879.774336576</v>
      </c>
      <c r="E27" s="63">
        <f t="shared" si="7"/>
        <v>6</v>
      </c>
      <c r="F27" s="56">
        <f t="shared" si="16"/>
        <v>13257940.082299702</v>
      </c>
      <c r="G27" s="54">
        <f t="shared" si="3"/>
        <v>-29282034.792383082</v>
      </c>
      <c r="H27" s="63">
        <f t="shared" si="4"/>
        <v>18</v>
      </c>
      <c r="I27" s="56">
        <f t="shared" si="1"/>
        <v>-2811673.4151047603</v>
      </c>
      <c r="J27" s="54">
        <f t="shared" si="8"/>
        <v>12328335.169575902</v>
      </c>
      <c r="K27" s="63">
        <f t="shared" si="9"/>
        <v>19</v>
      </c>
      <c r="L27" s="56">
        <f t="shared" si="10"/>
        <v>1121587.4988663278</v>
      </c>
      <c r="M27" s="54">
        <f t="shared" si="11"/>
        <v>0</v>
      </c>
      <c r="N27" s="63">
        <f t="shared" si="12"/>
        <v>19</v>
      </c>
      <c r="O27" s="56">
        <f t="shared" si="13"/>
        <v>0</v>
      </c>
      <c r="P27" s="54">
        <f t="shared" si="5"/>
        <v>53109180.151529394</v>
      </c>
      <c r="Q27" s="63">
        <f t="shared" si="14"/>
        <v>19</v>
      </c>
      <c r="R27" s="297">
        <f t="shared" si="17"/>
        <v>11567854.166061269</v>
      </c>
      <c r="S27" s="63"/>
      <c r="T27" s="142"/>
      <c r="U27" s="111"/>
      <c r="AF27" s="216">
        <v>500000</v>
      </c>
    </row>
    <row r="28" spans="1:32" s="50" customFormat="1" x14ac:dyDescent="0.25">
      <c r="A28" s="49">
        <f t="shared" si="6"/>
        <v>13</v>
      </c>
      <c r="B28" s="49">
        <f t="shared" si="2"/>
        <v>2027</v>
      </c>
      <c r="C28" s="49">
        <f t="shared" si="0"/>
        <v>2030</v>
      </c>
      <c r="D28" s="54">
        <f t="shared" si="15"/>
        <v>61253161.500100143</v>
      </c>
      <c r="E28" s="63">
        <f t="shared" si="7"/>
        <v>5</v>
      </c>
      <c r="F28" s="56">
        <f t="shared" si="16"/>
        <v>13655678.284768691</v>
      </c>
      <c r="G28" s="54">
        <f t="shared" si="3"/>
        <v>-28423359.632192194</v>
      </c>
      <c r="H28" s="63">
        <f t="shared" si="4"/>
        <v>17</v>
      </c>
      <c r="I28" s="56">
        <f t="shared" si="1"/>
        <v>-2896023.6175579028</v>
      </c>
      <c r="J28" s="54">
        <f t="shared" si="8"/>
        <v>12031139.501377868</v>
      </c>
      <c r="K28" s="63">
        <f t="shared" si="9"/>
        <v>18</v>
      </c>
      <c r="L28" s="56">
        <f t="shared" si="10"/>
        <v>1155235.1238323175</v>
      </c>
      <c r="M28" s="54">
        <f t="shared" si="11"/>
        <v>0</v>
      </c>
      <c r="N28" s="63">
        <f t="shared" si="12"/>
        <v>18</v>
      </c>
      <c r="O28" s="56">
        <f t="shared" si="13"/>
        <v>0</v>
      </c>
      <c r="P28" s="54">
        <f t="shared" si="5"/>
        <v>44860941.369285814</v>
      </c>
      <c r="Q28" s="63">
        <f t="shared" si="14"/>
        <v>18</v>
      </c>
      <c r="R28" s="297">
        <f t="shared" si="17"/>
        <v>11914889.791043105</v>
      </c>
      <c r="S28" s="63"/>
      <c r="T28" s="142"/>
      <c r="U28" s="111"/>
      <c r="V28" s="73"/>
      <c r="W28" s="49"/>
      <c r="AF28" s="216">
        <v>500000</v>
      </c>
    </row>
    <row r="29" spans="1:32" s="50" customFormat="1" x14ac:dyDescent="0.25">
      <c r="A29" s="49">
        <f t="shared" si="6"/>
        <v>14</v>
      </c>
      <c r="B29" s="49">
        <f t="shared" si="2"/>
        <v>2028</v>
      </c>
      <c r="C29" s="49">
        <f t="shared" si="0"/>
        <v>2031</v>
      </c>
      <c r="D29" s="54">
        <f t="shared" si="15"/>
        <v>51415339.350913957</v>
      </c>
      <c r="E29" s="63">
        <f t="shared" si="7"/>
        <v>4</v>
      </c>
      <c r="F29" s="56">
        <f t="shared" si="16"/>
        <v>14065348.63331175</v>
      </c>
      <c r="G29" s="54">
        <f t="shared" si="3"/>
        <v>-27417324.682918213</v>
      </c>
      <c r="H29" s="63">
        <f t="shared" si="4"/>
        <v>16</v>
      </c>
      <c r="I29" s="56">
        <f t="shared" si="1"/>
        <v>-2982904.3260846403</v>
      </c>
      <c r="J29" s="54">
        <f t="shared" si="8"/>
        <v>11678334.76250392</v>
      </c>
      <c r="K29" s="63">
        <f t="shared" si="9"/>
        <v>17</v>
      </c>
      <c r="L29" s="56">
        <f t="shared" si="10"/>
        <v>1189892.177547287</v>
      </c>
      <c r="M29" s="54">
        <f t="shared" si="11"/>
        <v>0</v>
      </c>
      <c r="N29" s="63">
        <f t="shared" si="12"/>
        <v>17</v>
      </c>
      <c r="O29" s="56">
        <f t="shared" si="13"/>
        <v>0</v>
      </c>
      <c r="P29" s="54">
        <f t="shared" si="5"/>
        <v>35676349.430499665</v>
      </c>
      <c r="Q29" s="63">
        <f t="shared" si="14"/>
        <v>17</v>
      </c>
      <c r="R29" s="297">
        <f t="shared" si="17"/>
        <v>12272336.484774398</v>
      </c>
      <c r="S29" s="63"/>
      <c r="T29" s="142"/>
      <c r="U29" s="111"/>
      <c r="V29" s="73"/>
      <c r="W29" s="49"/>
      <c r="AF29" s="216">
        <v>500000</v>
      </c>
    </row>
    <row r="30" spans="1:32" s="50" customFormat="1" x14ac:dyDescent="0.25">
      <c r="A30" s="49">
        <f t="shared" si="6"/>
        <v>15</v>
      </c>
      <c r="B30" s="49">
        <f t="shared" si="2"/>
        <v>2029</v>
      </c>
      <c r="C30" s="49">
        <f t="shared" si="0"/>
        <v>2032</v>
      </c>
      <c r="D30" s="54">
        <f t="shared" si="15"/>
        <v>40465103.34765894</v>
      </c>
      <c r="E30" s="63">
        <f t="shared" si="7"/>
        <v>3</v>
      </c>
      <c r="F30" s="56">
        <f t="shared" si="16"/>
        <v>14487309.092311108</v>
      </c>
      <c r="G30" s="54">
        <f t="shared" si="3"/>
        <v>-26250997.18348923</v>
      </c>
      <c r="H30" s="63">
        <f t="shared" si="4"/>
        <v>15</v>
      </c>
      <c r="I30" s="56">
        <f t="shared" si="1"/>
        <v>-3072391.4558671797</v>
      </c>
      <c r="J30" s="54">
        <f t="shared" si="8"/>
        <v>11264984.156789683</v>
      </c>
      <c r="K30" s="63">
        <f t="shared" si="9"/>
        <v>16</v>
      </c>
      <c r="L30" s="56">
        <f t="shared" si="10"/>
        <v>1225588.9428737056</v>
      </c>
      <c r="M30" s="54">
        <f t="shared" si="11"/>
        <v>0</v>
      </c>
      <c r="N30" s="63">
        <f t="shared" si="12"/>
        <v>16</v>
      </c>
      <c r="O30" s="56">
        <f t="shared" si="13"/>
        <v>0</v>
      </c>
      <c r="P30" s="54">
        <f t="shared" si="5"/>
        <v>25479090.320959393</v>
      </c>
      <c r="Q30" s="63">
        <f t="shared" si="14"/>
        <v>16</v>
      </c>
      <c r="R30" s="297">
        <f t="shared" si="17"/>
        <v>12640506.579317633</v>
      </c>
      <c r="S30" s="63"/>
      <c r="T30" s="142"/>
      <c r="U30" s="111"/>
      <c r="V30" s="73"/>
      <c r="W30" s="49"/>
      <c r="AF30" s="216">
        <v>500000</v>
      </c>
    </row>
    <row r="31" spans="1:32" s="50" customFormat="1" x14ac:dyDescent="0.25">
      <c r="A31" s="49">
        <f t="shared" si="6"/>
        <v>16</v>
      </c>
      <c r="B31" s="49">
        <f t="shared" si="2"/>
        <v>2030</v>
      </c>
      <c r="C31" s="49">
        <f t="shared" si="0"/>
        <v>2033</v>
      </c>
      <c r="D31" s="54">
        <f t="shared" si="15"/>
        <v>28311871.531441499</v>
      </c>
      <c r="E31" s="63">
        <f t="shared" si="7"/>
        <v>2</v>
      </c>
      <c r="F31" s="56">
        <f t="shared" si="16"/>
        <v>14921928.36508044</v>
      </c>
      <c r="G31" s="54">
        <f t="shared" si="3"/>
        <v>-24910460.55228322</v>
      </c>
      <c r="H31" s="63">
        <f t="shared" si="4"/>
        <v>14</v>
      </c>
      <c r="I31" s="56">
        <f t="shared" si="1"/>
        <v>-3164563.1995431944</v>
      </c>
      <c r="J31" s="54">
        <f t="shared" si="8"/>
        <v>10785773.987502765</v>
      </c>
      <c r="K31" s="63">
        <f t="shared" si="9"/>
        <v>15</v>
      </c>
      <c r="L31" s="56">
        <f t="shared" si="10"/>
        <v>1262356.611159917</v>
      </c>
      <c r="M31" s="54">
        <f t="shared" si="11"/>
        <v>0</v>
      </c>
      <c r="N31" s="63">
        <f t="shared" si="12"/>
        <v>15</v>
      </c>
      <c r="O31" s="56">
        <f t="shared" si="13"/>
        <v>0</v>
      </c>
      <c r="P31" s="54">
        <f t="shared" si="5"/>
        <v>14187184.966661043</v>
      </c>
      <c r="Q31" s="63">
        <f t="shared" si="14"/>
        <v>15</v>
      </c>
      <c r="R31" s="297">
        <f t="shared" si="17"/>
        <v>13019721.776697163</v>
      </c>
      <c r="S31" s="63"/>
      <c r="T31" s="142"/>
      <c r="U31" s="111"/>
      <c r="V31" s="73"/>
      <c r="W31" s="49"/>
      <c r="AF31" s="216">
        <v>500000</v>
      </c>
    </row>
    <row r="32" spans="1:32" s="50" customFormat="1" x14ac:dyDescent="0.25">
      <c r="A32" s="49">
        <f t="shared" si="6"/>
        <v>17</v>
      </c>
      <c r="B32" s="49">
        <f t="shared" si="2"/>
        <v>2031</v>
      </c>
      <c r="C32" s="49">
        <f t="shared" si="0"/>
        <v>2034</v>
      </c>
      <c r="D32" s="54">
        <f t="shared" si="15"/>
        <v>14858339.816572228</v>
      </c>
      <c r="E32" s="63">
        <f t="shared" si="7"/>
        <v>1</v>
      </c>
      <c r="F32" s="56">
        <f t="shared" si="16"/>
        <v>15369586.216032855</v>
      </c>
      <c r="G32" s="54">
        <f t="shared" si="3"/>
        <v>-23380743.163871281</v>
      </c>
      <c r="H32" s="63">
        <f t="shared" si="4"/>
        <v>13</v>
      </c>
      <c r="I32" s="56">
        <f t="shared" si="1"/>
        <v>-3259500.0955294902</v>
      </c>
      <c r="J32" s="54">
        <f t="shared" si="8"/>
        <v>10234986.334557896</v>
      </c>
      <c r="K32" s="63">
        <f t="shared" si="9"/>
        <v>14</v>
      </c>
      <c r="L32" s="56">
        <f t="shared" si="10"/>
        <v>1300227.3094947143</v>
      </c>
      <c r="M32" s="54">
        <f t="shared" si="11"/>
        <v>0</v>
      </c>
      <c r="N32" s="63">
        <f t="shared" si="12"/>
        <v>14</v>
      </c>
      <c r="O32" s="56">
        <f t="shared" si="13"/>
        <v>0</v>
      </c>
      <c r="P32" s="54">
        <f t="shared" si="5"/>
        <v>1712582.9872588441</v>
      </c>
      <c r="Q32" s="63">
        <f t="shared" si="14"/>
        <v>14</v>
      </c>
      <c r="R32" s="297">
        <f t="shared" si="17"/>
        <v>13410313.429998081</v>
      </c>
      <c r="S32" s="63"/>
      <c r="T32" s="142"/>
      <c r="U32" s="111"/>
      <c r="V32" s="73"/>
      <c r="W32" s="49"/>
      <c r="AF32" s="216">
        <v>500000</v>
      </c>
    </row>
    <row r="33" spans="1:32" s="50" customFormat="1" x14ac:dyDescent="0.25">
      <c r="A33" s="49">
        <f t="shared" si="6"/>
        <v>18</v>
      </c>
      <c r="B33" s="49">
        <f t="shared" si="2"/>
        <v>2032</v>
      </c>
      <c r="C33" s="49">
        <f t="shared" si="0"/>
        <v>2035</v>
      </c>
      <c r="D33" s="54"/>
      <c r="E33" s="63"/>
      <c r="F33" s="56"/>
      <c r="G33" s="54">
        <f t="shared" ref="G33:G44" si="18">G32*1.07-I32*1.07^0.5</f>
        <v>-21645742.069458354</v>
      </c>
      <c r="H33" s="63">
        <f t="shared" si="4"/>
        <v>12</v>
      </c>
      <c r="I33" s="56">
        <f t="shared" ref="I33:I44" si="19">I$15*MIN(H$5,H$15+1-H33)*(1+H$3)^(H$15-H33)*IF(H33&lt;H$5,H33/H$5,1)</f>
        <v>-3357285.0983953751</v>
      </c>
      <c r="J33" s="54">
        <f t="shared" si="8"/>
        <v>9606469.7909447867</v>
      </c>
      <c r="K33" s="63">
        <f t="shared" si="9"/>
        <v>13</v>
      </c>
      <c r="L33" s="56">
        <f t="shared" si="10"/>
        <v>1339234.1287795557</v>
      </c>
      <c r="M33" s="54">
        <f t="shared" si="11"/>
        <v>0</v>
      </c>
      <c r="N33" s="63">
        <f t="shared" si="12"/>
        <v>13</v>
      </c>
      <c r="O33" s="56">
        <f t="shared" si="13"/>
        <v>0</v>
      </c>
      <c r="P33" s="54">
        <f t="shared" si="5"/>
        <v>-12039272.278513568</v>
      </c>
      <c r="Q33" s="63">
        <f t="shared" si="14"/>
        <v>13</v>
      </c>
      <c r="R33" s="297">
        <f t="shared" si="17"/>
        <v>-2018050.9696158194</v>
      </c>
      <c r="S33" s="63"/>
      <c r="T33" s="142"/>
      <c r="U33" s="111"/>
      <c r="V33" s="73"/>
      <c r="W33" s="49"/>
      <c r="AF33" s="216">
        <v>500000</v>
      </c>
    </row>
    <row r="34" spans="1:32" s="50" customFormat="1" x14ac:dyDescent="0.25">
      <c r="A34" s="49">
        <f t="shared" si="6"/>
        <v>19</v>
      </c>
      <c r="B34" s="49">
        <f t="shared" si="2"/>
        <v>2033</v>
      </c>
      <c r="C34" s="49">
        <f t="shared" si="0"/>
        <v>2036</v>
      </c>
      <c r="D34" s="54"/>
      <c r="E34" s="63"/>
      <c r="F34" s="56"/>
      <c r="G34" s="54">
        <f t="shared" si="18"/>
        <v>-19688141.304960005</v>
      </c>
      <c r="H34" s="63">
        <f t="shared" si="4"/>
        <v>11</v>
      </c>
      <c r="I34" s="56">
        <f t="shared" si="19"/>
        <v>-3458003.6513472362</v>
      </c>
      <c r="J34" s="54">
        <f t="shared" si="8"/>
        <v>8893608.1216677949</v>
      </c>
      <c r="K34" s="63">
        <f t="shared" si="9"/>
        <v>12</v>
      </c>
      <c r="L34" s="56">
        <f t="shared" si="10"/>
        <v>1379411.1526429423</v>
      </c>
      <c r="M34" s="54">
        <f t="shared" si="11"/>
        <v>0</v>
      </c>
      <c r="N34" s="63">
        <f t="shared" si="12"/>
        <v>12</v>
      </c>
      <c r="O34" s="56">
        <f t="shared" si="13"/>
        <v>0</v>
      </c>
      <c r="P34" s="54">
        <f t="shared" si="5"/>
        <v>-10794533.18329221</v>
      </c>
      <c r="Q34" s="63">
        <f t="shared" si="14"/>
        <v>12</v>
      </c>
      <c r="R34" s="297">
        <f t="shared" si="17"/>
        <v>-2078592.498704294</v>
      </c>
      <c r="S34" s="63"/>
      <c r="T34" s="142"/>
      <c r="U34" s="111"/>
      <c r="V34" s="73"/>
      <c r="W34" s="49"/>
      <c r="AF34" s="216">
        <v>500000</v>
      </c>
    </row>
    <row r="35" spans="1:32" s="50" customFormat="1" x14ac:dyDescent="0.25">
      <c r="A35" s="49">
        <f t="shared" si="6"/>
        <v>20</v>
      </c>
      <c r="B35" s="49">
        <f t="shared" si="2"/>
        <v>2034</v>
      </c>
      <c r="C35" s="49">
        <f t="shared" si="0"/>
        <v>2037</v>
      </c>
      <c r="D35" s="54"/>
      <c r="E35" s="63"/>
      <c r="F35" s="56"/>
      <c r="G35" s="54">
        <f t="shared" si="18"/>
        <v>-17489324.40566596</v>
      </c>
      <c r="H35" s="63">
        <f t="shared" si="4"/>
        <v>10</v>
      </c>
      <c r="I35" s="56">
        <f t="shared" si="19"/>
        <v>-3561743.7608876531</v>
      </c>
      <c r="J35" s="54">
        <f t="shared" si="8"/>
        <v>8089286.698902118</v>
      </c>
      <c r="K35" s="63">
        <f t="shared" si="9"/>
        <v>11</v>
      </c>
      <c r="L35" s="56">
        <f t="shared" si="10"/>
        <v>1420793.4872222305</v>
      </c>
      <c r="M35" s="54">
        <f t="shared" si="11"/>
        <v>0</v>
      </c>
      <c r="N35" s="63">
        <f t="shared" si="12"/>
        <v>11</v>
      </c>
      <c r="O35" s="56">
        <f t="shared" si="13"/>
        <v>0</v>
      </c>
      <c r="P35" s="54">
        <f t="shared" si="5"/>
        <v>-9400037.7067638412</v>
      </c>
      <c r="Q35" s="63">
        <f t="shared" si="14"/>
        <v>11</v>
      </c>
      <c r="R35" s="297">
        <f t="shared" si="17"/>
        <v>-2140950.2736654226</v>
      </c>
      <c r="S35" s="63"/>
      <c r="T35" s="142"/>
      <c r="U35" s="111"/>
      <c r="V35" s="73"/>
      <c r="W35" s="49"/>
      <c r="AF35" s="216">
        <v>500000</v>
      </c>
    </row>
    <row r="36" spans="1:32" s="50" customFormat="1" x14ac:dyDescent="0.25">
      <c r="A36" s="49">
        <f t="shared" si="6"/>
        <v>21</v>
      </c>
      <c r="B36" s="49">
        <f t="shared" si="2"/>
        <v>2035</v>
      </c>
      <c r="C36" s="49">
        <f t="shared" si="0"/>
        <v>2038</v>
      </c>
      <c r="D36" s="54"/>
      <c r="E36" s="63"/>
      <c r="F36" s="56"/>
      <c r="G36" s="54">
        <f t="shared" si="18"/>
        <v>-15029280.719702093</v>
      </c>
      <c r="H36" s="63">
        <f t="shared" si="4"/>
        <v>9</v>
      </c>
      <c r="I36" s="56">
        <f t="shared" si="19"/>
        <v>-3668596.0737142824</v>
      </c>
      <c r="J36" s="54">
        <f t="shared" si="8"/>
        <v>7185856.5568043711</v>
      </c>
      <c r="K36" s="63">
        <f t="shared" si="9"/>
        <v>10</v>
      </c>
      <c r="L36" s="56">
        <f t="shared" si="10"/>
        <v>1463417.2918388974</v>
      </c>
      <c r="M36" s="54">
        <f t="shared" si="11"/>
        <v>0</v>
      </c>
      <c r="N36" s="63">
        <f t="shared" si="12"/>
        <v>10</v>
      </c>
      <c r="O36" s="56">
        <f t="shared" si="13"/>
        <v>0</v>
      </c>
      <c r="P36" s="54">
        <f t="shared" si="5"/>
        <v>-7843424.1628977219</v>
      </c>
      <c r="Q36" s="63">
        <f t="shared" si="14"/>
        <v>10</v>
      </c>
      <c r="R36" s="297">
        <f t="shared" si="17"/>
        <v>-2205178.781875385</v>
      </c>
      <c r="S36" s="63"/>
      <c r="T36" s="142"/>
      <c r="U36" s="111"/>
      <c r="V36" s="73"/>
      <c r="W36" s="49"/>
      <c r="AF36" s="216">
        <v>500000</v>
      </c>
    </row>
    <row r="37" spans="1:32" s="50" customFormat="1" x14ac:dyDescent="0.25">
      <c r="A37" s="49">
        <f t="shared" si="6"/>
        <v>22</v>
      </c>
      <c r="B37" s="49">
        <f t="shared" si="2"/>
        <v>2036</v>
      </c>
      <c r="C37" s="49">
        <f t="shared" si="0"/>
        <v>2039</v>
      </c>
      <c r="D37" s="54"/>
      <c r="E37" s="63"/>
      <c r="F37" s="56"/>
      <c r="G37" s="54">
        <f t="shared" si="18"/>
        <v>-12286505.083889941</v>
      </c>
      <c r="H37" s="63">
        <f t="shared" si="4"/>
        <v>8</v>
      </c>
      <c r="I37" s="56">
        <f t="shared" si="19"/>
        <v>-3778653.955925711</v>
      </c>
      <c r="J37" s="54">
        <f t="shared" si="8"/>
        <v>6175095.8984291544</v>
      </c>
      <c r="K37" s="63">
        <f t="shared" si="9"/>
        <v>9</v>
      </c>
      <c r="L37" s="56">
        <f t="shared" si="10"/>
        <v>1507319.8105940642</v>
      </c>
      <c r="M37" s="54">
        <f t="shared" si="11"/>
        <v>0</v>
      </c>
      <c r="N37" s="63">
        <f t="shared" si="12"/>
        <v>9</v>
      </c>
      <c r="O37" s="56">
        <f t="shared" si="13"/>
        <v>0</v>
      </c>
      <c r="P37" s="54">
        <f t="shared" si="5"/>
        <v>-6111409.1854607863</v>
      </c>
      <c r="Q37" s="63">
        <f t="shared" si="14"/>
        <v>9</v>
      </c>
      <c r="R37" s="297">
        <f t="shared" si="17"/>
        <v>-2271334.1453316468</v>
      </c>
      <c r="S37" s="63"/>
      <c r="T37" s="142"/>
      <c r="U37" s="111"/>
      <c r="V37" s="73"/>
      <c r="W37" s="49"/>
      <c r="AF37" s="216">
        <v>500000</v>
      </c>
    </row>
    <row r="38" spans="1:32" s="50" customFormat="1" x14ac:dyDescent="0.25">
      <c r="A38" s="49">
        <f t="shared" si="6"/>
        <v>23</v>
      </c>
      <c r="B38" s="49">
        <f t="shared" si="2"/>
        <v>2037</v>
      </c>
      <c r="C38" s="49">
        <f t="shared" si="0"/>
        <v>2040</v>
      </c>
      <c r="D38" s="54"/>
      <c r="E38" s="63"/>
      <c r="F38" s="56"/>
      <c r="G38" s="54">
        <f t="shared" si="18"/>
        <v>-9237890.394985199</v>
      </c>
      <c r="H38" s="63">
        <f t="shared" si="4"/>
        <v>7</v>
      </c>
      <c r="I38" s="56">
        <f t="shared" si="19"/>
        <v>-3892013.5746034826</v>
      </c>
      <c r="J38" s="54">
        <f t="shared" si="8"/>
        <v>5048168.875447128</v>
      </c>
      <c r="K38" s="63">
        <f t="shared" si="9"/>
        <v>8</v>
      </c>
      <c r="L38" s="56">
        <f t="shared" si="10"/>
        <v>1552539.4049118862</v>
      </c>
      <c r="M38" s="54">
        <f t="shared" si="11"/>
        <v>0</v>
      </c>
      <c r="N38" s="63">
        <f t="shared" si="12"/>
        <v>8</v>
      </c>
      <c r="O38" s="56">
        <f t="shared" si="13"/>
        <v>0</v>
      </c>
      <c r="P38" s="54">
        <f t="shared" si="5"/>
        <v>-4189721.519538071</v>
      </c>
      <c r="Q38" s="63">
        <f t="shared" si="14"/>
        <v>8</v>
      </c>
      <c r="R38" s="297">
        <f t="shared" si="17"/>
        <v>-2339474.1696915962</v>
      </c>
      <c r="S38" s="63"/>
      <c r="T38" s="142"/>
      <c r="U38" s="111"/>
      <c r="V38" s="73"/>
      <c r="W38" s="49"/>
      <c r="AF38" s="216">
        <v>500000</v>
      </c>
    </row>
    <row r="39" spans="1:32" s="50" customFormat="1" x14ac:dyDescent="0.25">
      <c r="A39" s="49">
        <f t="shared" si="6"/>
        <v>24</v>
      </c>
      <c r="B39" s="49">
        <f t="shared" si="2"/>
        <v>2038</v>
      </c>
      <c r="C39" s="49">
        <f t="shared" si="0"/>
        <v>2041</v>
      </c>
      <c r="D39" s="54"/>
      <c r="E39" s="63"/>
      <c r="F39" s="56"/>
      <c r="G39" s="54">
        <f t="shared" si="18"/>
        <v>-5858612.5765138129</v>
      </c>
      <c r="H39" s="63">
        <f t="shared" si="4"/>
        <v>6</v>
      </c>
      <c r="I39" s="56">
        <f t="shared" si="19"/>
        <v>-4008773.9818415865</v>
      </c>
      <c r="J39" s="54">
        <f t="shared" si="8"/>
        <v>3795581.4487801967</v>
      </c>
      <c r="K39" s="63">
        <f t="shared" si="9"/>
        <v>7</v>
      </c>
      <c r="L39" s="56">
        <f t="shared" si="10"/>
        <v>1599115.5870592429</v>
      </c>
      <c r="M39" s="54">
        <f t="shared" si="11"/>
        <v>0</v>
      </c>
      <c r="N39" s="63">
        <f t="shared" si="12"/>
        <v>7</v>
      </c>
      <c r="O39" s="56">
        <f t="shared" si="13"/>
        <v>0</v>
      </c>
      <c r="P39" s="54">
        <f t="shared" si="5"/>
        <v>-2063031.1277336162</v>
      </c>
      <c r="Q39" s="63">
        <f t="shared" si="14"/>
        <v>7</v>
      </c>
      <c r="R39" s="297">
        <f t="shared" si="17"/>
        <v>-2409658.3947823439</v>
      </c>
      <c r="S39" s="63"/>
      <c r="T39" s="142"/>
      <c r="U39" s="111"/>
      <c r="V39" s="73"/>
      <c r="W39" s="49"/>
      <c r="AF39" s="216">
        <v>500000</v>
      </c>
    </row>
    <row r="40" spans="1:32" s="50" customFormat="1" x14ac:dyDescent="0.25">
      <c r="A40" s="49">
        <f t="shared" si="6"/>
        <v>25</v>
      </c>
      <c r="B40" s="49">
        <f t="shared" si="2"/>
        <v>2039</v>
      </c>
      <c r="C40" s="49">
        <f t="shared" si="0"/>
        <v>2042</v>
      </c>
      <c r="D40" s="54"/>
      <c r="E40" s="63"/>
      <c r="F40" s="56"/>
      <c r="G40" s="54">
        <f t="shared" si="18"/>
        <v>-2122007.4063658202</v>
      </c>
      <c r="H40" s="63">
        <f t="shared" si="4"/>
        <v>5</v>
      </c>
      <c r="I40" s="56">
        <f t="shared" si="19"/>
        <v>-4129037.2012968343</v>
      </c>
      <c r="J40" s="54">
        <f t="shared" si="8"/>
        <v>2407134.1248081336</v>
      </c>
      <c r="K40" s="63">
        <f t="shared" si="9"/>
        <v>6</v>
      </c>
      <c r="L40" s="56">
        <f t="shared" si="10"/>
        <v>1647089.05467102</v>
      </c>
      <c r="M40" s="54">
        <f t="shared" si="11"/>
        <v>0</v>
      </c>
      <c r="N40" s="63">
        <f t="shared" si="12"/>
        <v>6</v>
      </c>
      <c r="O40" s="56">
        <f t="shared" si="13"/>
        <v>0</v>
      </c>
      <c r="P40" s="54">
        <f t="shared" si="5"/>
        <v>285126.71844231337</v>
      </c>
      <c r="Q40" s="63">
        <f t="shared" si="14"/>
        <v>6</v>
      </c>
      <c r="R40" s="297">
        <f t="shared" si="17"/>
        <v>-2481948.146625814</v>
      </c>
      <c r="S40" s="63"/>
      <c r="T40" s="142"/>
      <c r="U40" s="111"/>
      <c r="V40" s="73"/>
      <c r="W40" s="49"/>
      <c r="AF40" s="216">
        <v>500000</v>
      </c>
    </row>
    <row r="41" spans="1:32" s="50" customFormat="1" x14ac:dyDescent="0.25">
      <c r="A41" s="49">
        <f t="shared" si="6"/>
        <v>26</v>
      </c>
      <c r="B41" s="49">
        <f t="shared" si="2"/>
        <v>2040</v>
      </c>
      <c r="C41" s="49">
        <f t="shared" si="0"/>
        <v>2043</v>
      </c>
      <c r="D41" s="54"/>
      <c r="E41" s="63"/>
      <c r="F41" s="56"/>
      <c r="G41" s="54">
        <f t="shared" si="18"/>
        <v>2000561.3672076506</v>
      </c>
      <c r="H41" s="63">
        <f t="shared" si="4"/>
        <v>4</v>
      </c>
      <c r="I41" s="56">
        <f t="shared" si="19"/>
        <v>-3402326.6538685919</v>
      </c>
      <c r="J41" s="54">
        <f t="shared" si="8"/>
        <v>871871.34739642567</v>
      </c>
      <c r="K41" s="65">
        <f t="shared" si="9"/>
        <v>5</v>
      </c>
      <c r="L41" s="56">
        <f t="shared" si="10"/>
        <v>1696501.7263111505</v>
      </c>
      <c r="M41" s="54">
        <f t="shared" si="11"/>
        <v>0</v>
      </c>
      <c r="N41" s="65">
        <f t="shared" si="12"/>
        <v>5</v>
      </c>
      <c r="O41" s="56">
        <f t="shared" si="13"/>
        <v>0</v>
      </c>
      <c r="P41" s="54">
        <f t="shared" si="5"/>
        <v>2872432.714604076</v>
      </c>
      <c r="Q41" s="63">
        <f t="shared" si="14"/>
        <v>5</v>
      </c>
      <c r="R41" s="297">
        <f t="shared" si="17"/>
        <v>-1705824.9275574414</v>
      </c>
      <c r="S41" s="63"/>
      <c r="T41" s="142"/>
      <c r="U41" s="111"/>
      <c r="V41" s="73"/>
      <c r="W41" s="49"/>
      <c r="AF41" s="216">
        <v>500000</v>
      </c>
    </row>
    <row r="42" spans="1:32" s="50" customFormat="1" x14ac:dyDescent="0.25">
      <c r="A42" s="49">
        <f t="shared" si="6"/>
        <v>27</v>
      </c>
      <c r="B42" s="49">
        <f t="shared" si="2"/>
        <v>2041</v>
      </c>
      <c r="C42" s="49">
        <f t="shared" si="0"/>
        <v>2044</v>
      </c>
      <c r="D42" s="54"/>
      <c r="E42" s="63"/>
      <c r="F42" s="56"/>
      <c r="G42" s="54">
        <f t="shared" si="18"/>
        <v>5659994.7195359077</v>
      </c>
      <c r="H42" s="63">
        <f t="shared" si="4"/>
        <v>3</v>
      </c>
      <c r="I42" s="56">
        <f t="shared" si="19"/>
        <v>-2628297.3401134866</v>
      </c>
      <c r="J42" s="54">
        <f t="shared" si="8"/>
        <v>-821972.68941854977</v>
      </c>
      <c r="K42" s="63">
        <f t="shared" si="9"/>
        <v>4</v>
      </c>
      <c r="L42" s="56">
        <f t="shared" si="10"/>
        <v>1397917.4224803883</v>
      </c>
      <c r="M42" s="54">
        <f t="shared" si="11"/>
        <v>0</v>
      </c>
      <c r="N42" s="63">
        <f t="shared" si="12"/>
        <v>4</v>
      </c>
      <c r="O42" s="56">
        <f t="shared" si="13"/>
        <v>0</v>
      </c>
      <c r="P42" s="54">
        <f t="shared" si="5"/>
        <v>4838022.0301173581</v>
      </c>
      <c r="Q42" s="63">
        <f t="shared" si="14"/>
        <v>4</v>
      </c>
      <c r="R42" s="297">
        <f t="shared" si="17"/>
        <v>-1230379.9176330983</v>
      </c>
      <c r="S42" s="63"/>
      <c r="T42" s="142"/>
      <c r="U42" s="111"/>
      <c r="V42" s="73"/>
      <c r="W42" s="49"/>
      <c r="AF42" s="216">
        <v>500000</v>
      </c>
    </row>
    <row r="43" spans="1:32" s="50" customFormat="1" x14ac:dyDescent="0.25">
      <c r="A43" s="49">
        <f t="shared" si="6"/>
        <v>28</v>
      </c>
      <c r="B43" s="49">
        <f t="shared" si="2"/>
        <v>2042</v>
      </c>
      <c r="C43" s="49">
        <f t="shared" si="0"/>
        <v>2045</v>
      </c>
      <c r="D43" s="54"/>
      <c r="E43" s="63"/>
      <c r="F43" s="56"/>
      <c r="G43" s="54">
        <f t="shared" si="18"/>
        <v>8774926.2586452458</v>
      </c>
      <c r="H43" s="63">
        <f t="shared" si="4"/>
        <v>2</v>
      </c>
      <c r="I43" s="56">
        <f t="shared" si="19"/>
        <v>-1804764.1735445943</v>
      </c>
      <c r="J43" s="54">
        <f t="shared" si="8"/>
        <v>-2325527.8033312145</v>
      </c>
      <c r="K43" s="63">
        <f t="shared" si="9"/>
        <v>3</v>
      </c>
      <c r="L43" s="56">
        <f t="shared" si="10"/>
        <v>1079891.2088660998</v>
      </c>
      <c r="M43" s="54">
        <f t="shared" si="11"/>
        <v>0</v>
      </c>
      <c r="N43" s="63">
        <f t="shared" si="12"/>
        <v>3</v>
      </c>
      <c r="O43" s="56">
        <f t="shared" si="13"/>
        <v>0</v>
      </c>
      <c r="P43" s="54">
        <f t="shared" si="5"/>
        <v>6449398.4553140309</v>
      </c>
      <c r="Q43" s="63">
        <f t="shared" si="14"/>
        <v>3</v>
      </c>
      <c r="R43" s="297">
        <f t="shared" si="17"/>
        <v>-724872.96467849449</v>
      </c>
      <c r="S43" s="63"/>
      <c r="T43" s="142"/>
      <c r="U43" s="111"/>
      <c r="V43" s="73"/>
      <c r="W43" s="49"/>
      <c r="AF43" s="216">
        <v>500000</v>
      </c>
    </row>
    <row r="44" spans="1:32" x14ac:dyDescent="0.25">
      <c r="A44" s="49">
        <f t="shared" si="6"/>
        <v>29</v>
      </c>
      <c r="B44" s="49">
        <f t="shared" si="2"/>
        <v>2043</v>
      </c>
      <c r="C44" s="49">
        <f t="shared" si="0"/>
        <v>2046</v>
      </c>
      <c r="D44" s="54"/>
      <c r="E44" s="63"/>
      <c r="F44" s="56"/>
      <c r="G44" s="54">
        <f t="shared" si="18"/>
        <v>11256033.674086466</v>
      </c>
      <c r="H44" s="63">
        <f t="shared" si="4"/>
        <v>1</v>
      </c>
      <c r="I44" s="56">
        <f t="shared" si="19"/>
        <v>-929453.54937546607</v>
      </c>
      <c r="J44" s="54">
        <f t="shared" si="8"/>
        <v>-3605362.9018816245</v>
      </c>
      <c r="K44" s="63">
        <f t="shared" si="9"/>
        <v>2</v>
      </c>
      <c r="L44" s="56">
        <f t="shared" si="10"/>
        <v>741525.2967547219</v>
      </c>
      <c r="M44" s="54">
        <f t="shared" si="11"/>
        <v>0</v>
      </c>
      <c r="N44" s="63">
        <f t="shared" si="12"/>
        <v>2</v>
      </c>
      <c r="O44" s="56">
        <f t="shared" si="13"/>
        <v>0</v>
      </c>
      <c r="P44" s="54">
        <f t="shared" si="5"/>
        <v>7650670.7722048424</v>
      </c>
      <c r="Q44" s="63">
        <f t="shared" si="14"/>
        <v>2</v>
      </c>
      <c r="R44" s="297">
        <f t="shared" si="17"/>
        <v>-187928.25262074417</v>
      </c>
      <c r="S44" s="63"/>
      <c r="T44" s="142"/>
      <c r="U44" s="111"/>
      <c r="AF44" s="216">
        <v>500000</v>
      </c>
    </row>
    <row r="45" spans="1:32" x14ac:dyDescent="0.25">
      <c r="A45" s="49">
        <f t="shared" si="6"/>
        <v>30</v>
      </c>
      <c r="B45" s="49">
        <f t="shared" si="2"/>
        <v>2044</v>
      </c>
      <c r="C45" s="49">
        <f t="shared" si="0"/>
        <v>2047</v>
      </c>
      <c r="D45" s="54"/>
      <c r="E45" s="63"/>
      <c r="F45" s="56"/>
      <c r="G45" s="54"/>
      <c r="H45" s="63"/>
      <c r="I45" s="56"/>
      <c r="J45" s="54">
        <f t="shared" si="8"/>
        <v>-4624778.0362711661</v>
      </c>
      <c r="K45" s="63">
        <f t="shared" si="9"/>
        <v>1</v>
      </c>
      <c r="L45" s="56">
        <f t="shared" si="10"/>
        <v>381885.52782868175</v>
      </c>
      <c r="M45" s="54">
        <f t="shared" si="11"/>
        <v>0</v>
      </c>
      <c r="N45" s="63">
        <f t="shared" si="12"/>
        <v>1</v>
      </c>
      <c r="O45" s="56">
        <f t="shared" si="13"/>
        <v>0</v>
      </c>
      <c r="P45" s="54">
        <f t="shared" si="5"/>
        <v>-4624778.0362711661</v>
      </c>
      <c r="Q45" s="63">
        <f t="shared" si="14"/>
        <v>1</v>
      </c>
      <c r="R45" s="297">
        <f t="shared" si="17"/>
        <v>381885.52782868175</v>
      </c>
      <c r="S45" s="63"/>
      <c r="T45" s="142"/>
      <c r="U45" s="111"/>
      <c r="AF45" s="216">
        <v>500000</v>
      </c>
    </row>
    <row r="46" spans="1:32" ht="15.75" thickBot="1" x14ac:dyDescent="0.3">
      <c r="C46" s="56"/>
      <c r="D46" s="57"/>
      <c r="E46" s="68"/>
      <c r="F46" s="59"/>
      <c r="G46" s="57"/>
      <c r="H46" s="68"/>
      <c r="I46" s="59"/>
      <c r="J46" s="57"/>
      <c r="K46" s="68"/>
      <c r="L46" s="59"/>
      <c r="M46" s="57"/>
      <c r="N46" s="68"/>
      <c r="O46" s="59"/>
      <c r="P46" s="66"/>
      <c r="Q46" s="67"/>
      <c r="R46" s="298"/>
      <c r="S46" s="146"/>
      <c r="T46" s="147"/>
      <c r="U46" s="52"/>
    </row>
    <row r="47" spans="1:32" x14ac:dyDescent="0.25">
      <c r="C47" s="47"/>
      <c r="P47" s="49" t="s">
        <v>81</v>
      </c>
      <c r="R47" s="47">
        <f>SUM(R16:R46)</f>
        <v>162053563.78047168</v>
      </c>
      <c r="S47" s="47"/>
    </row>
    <row r="48" spans="1:32" x14ac:dyDescent="0.25">
      <c r="B48" s="215">
        <v>0</v>
      </c>
      <c r="C48" s="52"/>
      <c r="D48" s="56"/>
      <c r="E48" s="49" t="s">
        <v>152</v>
      </c>
      <c r="P48" s="49" t="s">
        <v>86</v>
      </c>
      <c r="R48" s="48">
        <f>NPV(0.03,R16:R45)</f>
        <v>128404881.42228353</v>
      </c>
      <c r="S48" s="48"/>
      <c r="T48" s="48"/>
      <c r="U48" s="48"/>
    </row>
    <row r="49" spans="2:19" x14ac:dyDescent="0.25">
      <c r="B49" s="215">
        <v>-1</v>
      </c>
      <c r="C49" s="52"/>
      <c r="D49" s="274"/>
      <c r="E49" s="49" t="s">
        <v>153</v>
      </c>
      <c r="S49" s="49"/>
    </row>
    <row r="50" spans="2:19" x14ac:dyDescent="0.25">
      <c r="B50" s="215">
        <v>1</v>
      </c>
      <c r="C50" s="52"/>
      <c r="D50" s="56"/>
      <c r="E50" s="49" t="s">
        <v>154</v>
      </c>
      <c r="S50" s="49"/>
    </row>
    <row r="51" spans="2:19" x14ac:dyDescent="0.25">
      <c r="S51" s="49"/>
    </row>
    <row r="52" spans="2:19" x14ac:dyDescent="0.25">
      <c r="S52" s="49"/>
    </row>
    <row r="53" spans="2:19" x14ac:dyDescent="0.25">
      <c r="S53" s="47"/>
    </row>
  </sheetData>
  <mergeCells count="8">
    <mergeCell ref="W5:AB5"/>
    <mergeCell ref="D10:R10"/>
    <mergeCell ref="P11:R11"/>
    <mergeCell ref="D12:F12"/>
    <mergeCell ref="G12:I12"/>
    <mergeCell ref="J12:L12"/>
    <mergeCell ref="M12:O12"/>
    <mergeCell ref="P12:R12"/>
  </mergeCells>
  <conditionalFormatting sqref="T14:U45">
    <cfRule type="iconSet" priority="28">
      <iconSet>
        <cfvo type="percent" val="0"/>
        <cfvo type="num" val="0.7"/>
        <cfvo type="num" val="0.8"/>
      </iconSet>
    </cfRule>
  </conditionalFormatting>
  <conditionalFormatting sqref="D17">
    <cfRule type="cellIs" dxfId="395" priority="25" operator="greaterThanOrEqual">
      <formula>D16</formula>
    </cfRule>
    <cfRule type="cellIs" dxfId="394" priority="26" operator="greaterThan">
      <formula>D$16</formula>
    </cfRule>
    <cfRule type="cellIs" dxfId="393" priority="27" operator="lessThanOrEqual">
      <formula>D$16</formula>
    </cfRule>
  </conditionalFormatting>
  <conditionalFormatting sqref="D18:D32">
    <cfRule type="cellIs" dxfId="392" priority="22" operator="greaterThanOrEqual">
      <formula>D17</formula>
    </cfRule>
    <cfRule type="cellIs" dxfId="391" priority="23" operator="greaterThan">
      <formula>D$16</formula>
    </cfRule>
    <cfRule type="cellIs" dxfId="390" priority="24" operator="lessThanOrEqual">
      <formula>D$16</formula>
    </cfRule>
  </conditionalFormatting>
  <conditionalFormatting sqref="D48">
    <cfRule type="cellIs" dxfId="389" priority="19" operator="greaterThanOrEqual">
      <formula>B48</formula>
    </cfRule>
    <cfRule type="cellIs" dxfId="388" priority="20" operator="greaterThan">
      <formula>B49</formula>
    </cfRule>
    <cfRule type="cellIs" dxfId="387" priority="21" operator="lessThanOrEqual">
      <formula>51</formula>
    </cfRule>
  </conditionalFormatting>
  <conditionalFormatting sqref="G16:G45">
    <cfRule type="cellIs" dxfId="386" priority="29" operator="greaterThanOrEqual">
      <formula>G15</formula>
    </cfRule>
    <cfRule type="cellIs" dxfId="385" priority="30" operator="greaterThan">
      <formula>G$15</formula>
    </cfRule>
    <cfRule type="cellIs" dxfId="384" priority="31" operator="lessThanOrEqual">
      <formula>G$15</formula>
    </cfRule>
  </conditionalFormatting>
  <conditionalFormatting sqref="P18:P45">
    <cfRule type="cellIs" dxfId="383" priority="7" operator="greaterThanOrEqual">
      <formula>P17</formula>
    </cfRule>
    <cfRule type="cellIs" dxfId="382" priority="8" operator="greaterThan">
      <formula>P$16</formula>
    </cfRule>
    <cfRule type="cellIs" dxfId="381" priority="9" operator="lessThanOrEqual">
      <formula>P$16</formula>
    </cfRule>
  </conditionalFormatting>
  <conditionalFormatting sqref="J17:J45">
    <cfRule type="cellIs" dxfId="380" priority="16" operator="greaterThanOrEqual">
      <formula>J16</formula>
    </cfRule>
    <cfRule type="cellIs" dxfId="379" priority="17" operator="greaterThan">
      <formula>J$16</formula>
    </cfRule>
    <cfRule type="cellIs" dxfId="378" priority="18" operator="lessThanOrEqual">
      <formula>J$16</formula>
    </cfRule>
  </conditionalFormatting>
  <conditionalFormatting sqref="P17">
    <cfRule type="cellIs" dxfId="377" priority="10" operator="greaterThanOrEqual">
      <formula>P16</formula>
    </cfRule>
    <cfRule type="cellIs" dxfId="376" priority="11" operator="greaterThan">
      <formula>P$16</formula>
    </cfRule>
    <cfRule type="cellIs" dxfId="375" priority="12" operator="lessThanOrEqual">
      <formula>P$16</formula>
    </cfRule>
  </conditionalFormatting>
  <conditionalFormatting sqref="D50">
    <cfRule type="cellIs" dxfId="374" priority="32" operator="greaterThanOrEqual">
      <formula>B50</formula>
    </cfRule>
    <cfRule type="cellIs" dxfId="373" priority="33" operator="greaterThan">
      <formula>D48</formula>
    </cfRule>
    <cfRule type="cellIs" dxfId="372" priority="34" operator="lessThanOrEqual">
      <formula>51</formula>
    </cfRule>
  </conditionalFormatting>
  <pageMargins left="0.25" right="0.25" top="0.25" bottom="0.25" header="0.3" footer="0.3"/>
  <pageSetup scale="70" orientation="landscape" r:id="rId1"/>
  <headerFooter differentFirst="1">
    <oddFooter>&amp;R&amp;P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AO53"/>
  <sheetViews>
    <sheetView showGridLines="0" zoomScaleNormal="100" workbookViewId="0">
      <selection activeCell="D3" sqref="D3:F4"/>
    </sheetView>
  </sheetViews>
  <sheetFormatPr defaultColWidth="9.140625" defaultRowHeight="15" x14ac:dyDescent="0.25"/>
  <cols>
    <col min="1" max="1" width="3.5703125" style="49" customWidth="1"/>
    <col min="2" max="3" width="5" style="49" bestFit="1" customWidth="1"/>
    <col min="4" max="4" width="14.7109375" style="49" customWidth="1"/>
    <col min="5" max="5" width="6.28515625" style="49" customWidth="1"/>
    <col min="6" max="6" width="12.28515625" style="49" customWidth="1"/>
    <col min="7" max="7" width="13" style="49" bestFit="1" customWidth="1"/>
    <col min="8" max="8" width="9.5703125" style="49" bestFit="1" customWidth="1"/>
    <col min="9" max="9" width="11.85546875" style="49" bestFit="1" customWidth="1"/>
    <col min="10" max="10" width="14.85546875" style="49" customWidth="1"/>
    <col min="11" max="12" width="11.85546875" style="49" customWidth="1"/>
    <col min="13" max="13" width="12.28515625" style="49" customWidth="1"/>
    <col min="14" max="14" width="9.28515625" style="49" customWidth="1"/>
    <col min="15" max="15" width="11.28515625" style="49" customWidth="1"/>
    <col min="16" max="16" width="12.5703125" style="49" bestFit="1" customWidth="1"/>
    <col min="17" max="18" width="11.28515625" style="49" customWidth="1"/>
    <col min="19" max="19" width="12.5703125" style="49" bestFit="1" customWidth="1"/>
    <col min="20" max="21" width="11.28515625" style="49" customWidth="1"/>
    <col min="22" max="22" width="13.28515625" style="49" bestFit="1" customWidth="1"/>
    <col min="23" max="23" width="11.28515625" style="49" customWidth="1"/>
    <col min="24" max="24" width="12.140625" style="49" bestFit="1" customWidth="1"/>
    <col min="25" max="25" width="15.140625" style="49" bestFit="1" customWidth="1"/>
    <col min="26" max="26" width="7" style="49" customWidth="1"/>
    <col min="27" max="27" width="15.5703125" style="49" bestFit="1" customWidth="1"/>
    <col min="28" max="28" width="14" style="50" hidden="1" customWidth="1"/>
    <col min="29" max="29" width="15.28515625" style="49" hidden="1" customWidth="1"/>
    <col min="30" max="30" width="4" style="49" customWidth="1"/>
    <col min="31" max="31" width="14.28515625" style="73" bestFit="1" customWidth="1"/>
    <col min="32" max="32" width="11.5703125" style="49" bestFit="1" customWidth="1"/>
    <col min="33" max="37" width="9.140625" style="49"/>
    <col min="38" max="38" width="4.85546875" style="49" customWidth="1"/>
    <col min="39" max="40" width="9.140625" style="49"/>
    <col min="41" max="41" width="12.5703125" style="215" bestFit="1" customWidth="1"/>
    <col min="42" max="16384" width="9.140625" style="49"/>
  </cols>
  <sheetData>
    <row r="1" spans="1:41" ht="11.25" customHeight="1" thickBot="1" x14ac:dyDescent="0.3"/>
    <row r="2" spans="1:41" ht="27.75" thickTop="1" thickBot="1" x14ac:dyDescent="0.45">
      <c r="D2" s="214" t="s">
        <v>149</v>
      </c>
      <c r="G2" s="246" t="s">
        <v>141</v>
      </c>
      <c r="H2" s="244">
        <v>7.0000000000000007E-2</v>
      </c>
      <c r="J2" s="246" t="s">
        <v>141</v>
      </c>
      <c r="K2" s="244">
        <v>7.0000000000000007E-2</v>
      </c>
      <c r="M2" s="246" t="s">
        <v>141</v>
      </c>
      <c r="N2" s="244">
        <v>7.0000000000000007E-2</v>
      </c>
      <c r="P2" s="246" t="s">
        <v>141</v>
      </c>
      <c r="Q2" s="406">
        <v>7.0000000000000007E-2</v>
      </c>
      <c r="S2" s="246" t="s">
        <v>141</v>
      </c>
      <c r="T2" s="244">
        <v>7.0000000000000007E-2</v>
      </c>
      <c r="V2" s="246" t="s">
        <v>141</v>
      </c>
      <c r="W2" s="244">
        <v>7.0000000000000007E-2</v>
      </c>
    </row>
    <row r="3" spans="1:41" ht="27.75" thickTop="1" thickBot="1" x14ac:dyDescent="0.45">
      <c r="D3" s="214" t="s">
        <v>253</v>
      </c>
      <c r="G3" s="247" t="s">
        <v>142</v>
      </c>
      <c r="H3" s="244">
        <v>0.03</v>
      </c>
      <c r="J3" s="247" t="s">
        <v>142</v>
      </c>
      <c r="K3" s="244">
        <v>0.03</v>
      </c>
      <c r="M3" s="247" t="s">
        <v>142</v>
      </c>
      <c r="N3" s="244">
        <v>0.03</v>
      </c>
      <c r="P3" s="247" t="s">
        <v>142</v>
      </c>
      <c r="Q3" s="244">
        <v>0.03</v>
      </c>
      <c r="S3" s="247" t="s">
        <v>142</v>
      </c>
      <c r="T3" s="244">
        <v>0.03</v>
      </c>
      <c r="V3" s="247" t="s">
        <v>142</v>
      </c>
      <c r="W3" s="244">
        <v>0.03</v>
      </c>
    </row>
    <row r="4" spans="1:41" ht="27" thickTop="1" x14ac:dyDescent="0.4">
      <c r="D4" s="214" t="s">
        <v>254</v>
      </c>
      <c r="G4" s="248"/>
      <c r="H4" s="250"/>
      <c r="J4" s="248"/>
      <c r="K4" s="250"/>
      <c r="M4" s="248"/>
      <c r="N4" s="250"/>
      <c r="P4" s="248"/>
      <c r="Q4" s="250"/>
      <c r="S4" s="248"/>
      <c r="T4" s="250"/>
      <c r="V4" s="248"/>
      <c r="W4" s="250"/>
    </row>
    <row r="5" spans="1:41" x14ac:dyDescent="0.25">
      <c r="G5" s="248" t="s">
        <v>143</v>
      </c>
      <c r="H5" s="250">
        <v>5</v>
      </c>
      <c r="J5" s="248" t="s">
        <v>143</v>
      </c>
      <c r="K5" s="250">
        <v>5</v>
      </c>
      <c r="M5" s="248" t="s">
        <v>143</v>
      </c>
      <c r="N5" s="250">
        <v>5</v>
      </c>
      <c r="P5" s="248" t="s">
        <v>143</v>
      </c>
      <c r="Q5" s="250">
        <v>5</v>
      </c>
      <c r="S5" s="248" t="s">
        <v>143</v>
      </c>
      <c r="T5" s="250">
        <v>5</v>
      </c>
      <c r="V5" s="248" t="s">
        <v>143</v>
      </c>
      <c r="W5" s="250">
        <v>5</v>
      </c>
      <c r="AF5" s="540"/>
      <c r="AG5" s="540"/>
      <c r="AH5" s="540"/>
      <c r="AI5" s="540"/>
      <c r="AJ5" s="540"/>
      <c r="AK5" s="540"/>
    </row>
    <row r="6" spans="1:41" x14ac:dyDescent="0.25">
      <c r="G6" s="248" t="s">
        <v>144</v>
      </c>
      <c r="H6" s="251">
        <f>H15+1-H5</f>
        <v>26</v>
      </c>
      <c r="J6" s="248" t="s">
        <v>144</v>
      </c>
      <c r="K6" s="251">
        <f>K16+1-K5</f>
        <v>26</v>
      </c>
      <c r="M6" s="248" t="s">
        <v>144</v>
      </c>
      <c r="N6" s="251">
        <f>N17+1-N5</f>
        <v>26</v>
      </c>
      <c r="P6" s="248" t="s">
        <v>144</v>
      </c>
      <c r="Q6" s="251">
        <f>Q17+1-Q5</f>
        <v>16</v>
      </c>
      <c r="S6" s="248" t="s">
        <v>144</v>
      </c>
      <c r="T6" s="251">
        <f>T18+1-T5</f>
        <v>16</v>
      </c>
      <c r="V6" s="248" t="s">
        <v>144</v>
      </c>
      <c r="W6" s="251">
        <f>W19+1-W5</f>
        <v>16</v>
      </c>
    </row>
    <row r="7" spans="1:41" x14ac:dyDescent="0.25">
      <c r="G7" s="248" t="s">
        <v>145</v>
      </c>
      <c r="H7" s="252">
        <f>1/(-PMT((1+H2)/(1+H3)-1,H5,1,0,1))</f>
        <v>4.6398839816425737</v>
      </c>
      <c r="J7" s="248" t="s">
        <v>145</v>
      </c>
      <c r="K7" s="252">
        <f>1/(-PMT((1+K2)/(1+K3)-1,K5,1,0,1))</f>
        <v>4.6398839816425737</v>
      </c>
      <c r="M7" s="248" t="s">
        <v>145</v>
      </c>
      <c r="N7" s="252">
        <f>1/(-PMT((1+N2)/(1+N3)-1,N5,1,0,1))</f>
        <v>4.6398839816425737</v>
      </c>
      <c r="P7" s="248" t="s">
        <v>145</v>
      </c>
      <c r="Q7" s="252">
        <f>1/(-PMT((1+Q2)/(1+Q3)-1,Q5,1,0,1))</f>
        <v>4.6398839816425737</v>
      </c>
      <c r="S7" s="248" t="s">
        <v>145</v>
      </c>
      <c r="T7" s="252">
        <f>1/(-PMT((1+T2)/(1+T3)-1,T5,1,0,1))</f>
        <v>4.6398839816425737</v>
      </c>
      <c r="V7" s="248" t="s">
        <v>145</v>
      </c>
      <c r="W7" s="252">
        <f>1/(-PMT((1+W2)/(1+W3)-1,W5,1,0,1))</f>
        <v>4.6398839816425737</v>
      </c>
    </row>
    <row r="8" spans="1:41" x14ac:dyDescent="0.25">
      <c r="G8" s="249" t="s">
        <v>146</v>
      </c>
      <c r="H8" s="253">
        <f>1/(-PMT((1+H2)/(1+H3)-1,H6,1,0,1)*(1+H2)^0.5)</f>
        <v>16.256878440621026</v>
      </c>
      <c r="J8" s="249" t="s">
        <v>146</v>
      </c>
      <c r="K8" s="253">
        <f>1/(-PMT((1+K2)/(1+K3)-1,K6,1,0,1)*(1+K2)^0.5)</f>
        <v>16.256878440621026</v>
      </c>
      <c r="M8" s="249" t="s">
        <v>146</v>
      </c>
      <c r="N8" s="253">
        <f>1/(-PMT((1+N2)/(1+N3)-1,N6,1,0,1)*(1+N2)^0.5)</f>
        <v>16.256878440621026</v>
      </c>
      <c r="P8" s="249" t="s">
        <v>146</v>
      </c>
      <c r="Q8" s="253">
        <f>1/(-PMT((1+Q2)/(1+Q3)-1,Q6,1,0,1)*(1+Q2)^0.5)</f>
        <v>11.803382176585611</v>
      </c>
      <c r="S8" s="249" t="s">
        <v>146</v>
      </c>
      <c r="T8" s="253">
        <f>1/(-PMT((1+T2)/(1+T3)-1,T6,1,0,1)*(1+T2)^0.5)</f>
        <v>11.803382176585611</v>
      </c>
      <c r="V8" s="249" t="s">
        <v>146</v>
      </c>
      <c r="W8" s="253">
        <f>1/(-PMT((1+W2)/(1+W3)-1,W6,1,0,1)*(1+W2)^0.5)</f>
        <v>11.803382176585611</v>
      </c>
    </row>
    <row r="9" spans="1:41" ht="15.75" thickBot="1" x14ac:dyDescent="0.3"/>
    <row r="10" spans="1:41" x14ac:dyDescent="0.25">
      <c r="C10" s="104"/>
      <c r="D10" s="403" t="s">
        <v>159</v>
      </c>
      <c r="E10" s="404"/>
      <c r="F10" s="404"/>
      <c r="G10" s="404"/>
      <c r="H10" s="404"/>
      <c r="I10" s="404"/>
      <c r="J10" s="404"/>
      <c r="K10" s="404"/>
      <c r="L10" s="404"/>
      <c r="M10" s="404"/>
      <c r="N10" s="404"/>
      <c r="O10" s="404"/>
      <c r="P10" s="404"/>
      <c r="Q10" s="404"/>
      <c r="R10" s="404"/>
      <c r="S10" s="404"/>
      <c r="T10" s="404"/>
      <c r="U10" s="404"/>
      <c r="V10" s="404"/>
      <c r="W10" s="404"/>
      <c r="X10" s="404"/>
      <c r="Y10" s="404"/>
      <c r="Z10" s="404"/>
      <c r="AA10" s="405"/>
      <c r="AB10" s="280"/>
      <c r="AC10" s="281"/>
      <c r="AD10" s="219"/>
    </row>
    <row r="11" spans="1:41" x14ac:dyDescent="0.25">
      <c r="C11" s="283" t="s">
        <v>166</v>
      </c>
      <c r="D11" s="288"/>
      <c r="E11" s="289" t="s">
        <v>155</v>
      </c>
      <c r="F11" s="290"/>
      <c r="G11" s="30"/>
      <c r="H11" s="254" t="s">
        <v>156</v>
      </c>
      <c r="I11" s="254"/>
      <c r="J11" s="30"/>
      <c r="K11" s="254" t="s">
        <v>157</v>
      </c>
      <c r="L11" s="254"/>
      <c r="M11" s="304"/>
      <c r="N11" s="305" t="s">
        <v>212</v>
      </c>
      <c r="O11" s="305"/>
      <c r="P11" s="304"/>
      <c r="Q11" s="308" t="s">
        <v>213</v>
      </c>
      <c r="R11" s="305"/>
      <c r="S11" s="407"/>
      <c r="T11" s="308" t="s">
        <v>214</v>
      </c>
      <c r="U11" s="308"/>
      <c r="V11" s="407"/>
      <c r="W11" s="308" t="s">
        <v>215</v>
      </c>
      <c r="X11" s="308"/>
      <c r="Y11" s="576" t="s">
        <v>114</v>
      </c>
      <c r="Z11" s="577"/>
      <c r="AA11" s="578"/>
      <c r="AB11" s="276"/>
      <c r="AC11" s="277"/>
      <c r="AD11" s="217"/>
    </row>
    <row r="12" spans="1:41" x14ac:dyDescent="0.25">
      <c r="B12" s="49" t="s">
        <v>161</v>
      </c>
      <c r="C12" s="88" t="s">
        <v>165</v>
      </c>
      <c r="D12" s="593" t="s">
        <v>147</v>
      </c>
      <c r="E12" s="594"/>
      <c r="F12" s="594"/>
      <c r="G12" s="595" t="s">
        <v>163</v>
      </c>
      <c r="H12" s="596"/>
      <c r="I12" s="597"/>
      <c r="J12" s="595" t="s">
        <v>148</v>
      </c>
      <c r="K12" s="596"/>
      <c r="L12" s="597"/>
      <c r="M12" s="595" t="s">
        <v>148</v>
      </c>
      <c r="N12" s="596"/>
      <c r="O12" s="597"/>
      <c r="P12" s="595" t="s">
        <v>148</v>
      </c>
      <c r="Q12" s="596"/>
      <c r="R12" s="597"/>
      <c r="S12" s="595" t="s">
        <v>148</v>
      </c>
      <c r="T12" s="596"/>
      <c r="U12" s="597"/>
      <c r="V12" s="595" t="s">
        <v>148</v>
      </c>
      <c r="W12" s="596"/>
      <c r="X12" s="597"/>
      <c r="Y12" s="565" t="s">
        <v>53</v>
      </c>
      <c r="Z12" s="566"/>
      <c r="AA12" s="567"/>
      <c r="AB12" s="278"/>
      <c r="AC12" s="279"/>
      <c r="AD12" s="218"/>
    </row>
    <row r="13" spans="1:41" x14ac:dyDescent="0.25">
      <c r="B13" s="49" t="s">
        <v>162</v>
      </c>
      <c r="C13" s="283" t="s">
        <v>162</v>
      </c>
      <c r="D13" s="74" t="s">
        <v>49</v>
      </c>
      <c r="E13" s="75" t="s">
        <v>50</v>
      </c>
      <c r="F13" s="76" t="s">
        <v>51</v>
      </c>
      <c r="G13" s="77" t="s">
        <v>49</v>
      </c>
      <c r="H13" s="78" t="s">
        <v>50</v>
      </c>
      <c r="I13" s="78" t="s">
        <v>51</v>
      </c>
      <c r="J13" s="77" t="s">
        <v>49</v>
      </c>
      <c r="K13" s="78" t="s">
        <v>50</v>
      </c>
      <c r="L13" s="78" t="s">
        <v>51</v>
      </c>
      <c r="M13" s="74" t="s">
        <v>49</v>
      </c>
      <c r="N13" s="75" t="s">
        <v>50</v>
      </c>
      <c r="O13" s="75" t="s">
        <v>51</v>
      </c>
      <c r="P13" s="74" t="s">
        <v>49</v>
      </c>
      <c r="Q13" s="75" t="s">
        <v>50</v>
      </c>
      <c r="R13" s="75" t="s">
        <v>51</v>
      </c>
      <c r="S13" s="74" t="s">
        <v>49</v>
      </c>
      <c r="T13" s="75" t="s">
        <v>50</v>
      </c>
      <c r="U13" s="75" t="s">
        <v>51</v>
      </c>
      <c r="V13" s="74" t="s">
        <v>49</v>
      </c>
      <c r="W13" s="75" t="s">
        <v>50</v>
      </c>
      <c r="X13" s="75" t="s">
        <v>51</v>
      </c>
      <c r="Y13" s="122" t="s">
        <v>49</v>
      </c>
      <c r="Z13" s="123" t="s">
        <v>52</v>
      </c>
      <c r="AA13" s="294" t="s">
        <v>51</v>
      </c>
      <c r="AB13" s="118"/>
      <c r="AC13" s="140"/>
      <c r="AD13" s="88"/>
    </row>
    <row r="14" spans="1:41" ht="15.75" thickBot="1" x14ac:dyDescent="0.3">
      <c r="B14" s="49">
        <v>2013</v>
      </c>
      <c r="C14" s="49">
        <f>B14+3</f>
        <v>2016</v>
      </c>
      <c r="D14" s="87"/>
      <c r="E14" s="88"/>
      <c r="F14" s="88"/>
      <c r="G14" s="69"/>
      <c r="H14" s="70"/>
      <c r="I14" s="70"/>
      <c r="J14" s="306">
        <v>10245755</v>
      </c>
      <c r="K14" s="70"/>
      <c r="L14" s="70"/>
      <c r="N14" s="125"/>
      <c r="O14" s="295"/>
      <c r="Q14" s="125"/>
      <c r="R14" s="295"/>
      <c r="T14" s="125"/>
      <c r="U14" s="295"/>
      <c r="W14" s="125"/>
      <c r="X14" s="125"/>
      <c r="Y14" s="124">
        <v>101203363</v>
      </c>
      <c r="Z14" s="125"/>
      <c r="AA14" s="295"/>
      <c r="AB14" s="71"/>
      <c r="AC14" s="141"/>
      <c r="AD14" s="111"/>
    </row>
    <row r="15" spans="1:41" ht="16.5" thickTop="1" thickBot="1" x14ac:dyDescent="0.3">
      <c r="B15" s="49">
        <f>B14+1</f>
        <v>2014</v>
      </c>
      <c r="C15" s="49">
        <f t="shared" ref="C15:C45" si="0">B15+3</f>
        <v>2017</v>
      </c>
      <c r="D15" s="87"/>
      <c r="E15" s="75"/>
      <c r="F15" s="75"/>
      <c r="G15" s="291">
        <v>-28041895</v>
      </c>
      <c r="H15" s="292">
        <v>30</v>
      </c>
      <c r="I15" s="58">
        <f>IF(H15&gt;0,-PMT((1+H2)/(1+H3)-1,H6,G15,0,1)*((1+H2)^0.5)/H7,0)</f>
        <v>-371760.35922320792</v>
      </c>
      <c r="J15" s="307">
        <v>10864793</v>
      </c>
      <c r="K15" s="78"/>
      <c r="L15" s="78"/>
      <c r="M15" s="315">
        <f>255215749*0.069</f>
        <v>17609886.681000002</v>
      </c>
      <c r="N15" s="78"/>
      <c r="O15" s="296"/>
      <c r="P15" s="421">
        <f>106246311-101203363</f>
        <v>5042948</v>
      </c>
      <c r="Q15" s="78"/>
      <c r="R15" s="296"/>
      <c r="U15" s="21"/>
      <c r="Y15" s="92">
        <v>100876936</v>
      </c>
      <c r="Z15" s="255"/>
      <c r="AA15" s="296"/>
      <c r="AB15" s="68"/>
      <c r="AC15" s="142"/>
      <c r="AD15" s="111"/>
    </row>
    <row r="16" spans="1:41" ht="16.5" thickTop="1" thickBot="1" x14ac:dyDescent="0.3">
      <c r="A16" s="49">
        <v>1</v>
      </c>
      <c r="B16" s="49">
        <f>B15+1</f>
        <v>2015</v>
      </c>
      <c r="C16" s="49">
        <f t="shared" si="0"/>
        <v>2018</v>
      </c>
      <c r="D16" s="293">
        <v>118168306</v>
      </c>
      <c r="E16" s="245">
        <v>17</v>
      </c>
      <c r="F16" s="56">
        <f>-PMT(1.075/1.03-1,E16,D16*1.075^0.5,0,1)</f>
        <v>9927463.7644708678</v>
      </c>
      <c r="G16" s="117">
        <f>G15*1.07-I15*1.07^0.5</f>
        <v>-29620275.744247276</v>
      </c>
      <c r="H16" s="71">
        <f>H15-1</f>
        <v>29</v>
      </c>
      <c r="I16" s="303">
        <f t="shared" ref="I16:I31" si="1">I$15*MIN(H$5,H$15+1-H16)*(1+H$3)^(H$15-H16)*IF(H16&lt;H$5,H16/H$5,1)</f>
        <v>-765826.33999980835</v>
      </c>
      <c r="J16" s="302">
        <v>11521602</v>
      </c>
      <c r="K16" s="245">
        <v>30</v>
      </c>
      <c r="L16" s="56">
        <f>IF(K16&gt;0,-PMT((1+K2)/(1+K3)-1,K6,J16,0,1)*((1+K2)^0.5)/K7,0)</f>
        <v>152745.5579712723</v>
      </c>
      <c r="M16" s="316">
        <f>M15*1.075</f>
        <v>18930628.182075001</v>
      </c>
      <c r="N16" s="16"/>
      <c r="O16" s="19"/>
      <c r="P16" s="316">
        <f>P15*1.075</f>
        <v>5421169.0999999996</v>
      </c>
      <c r="Q16" s="16"/>
      <c r="R16" s="19"/>
      <c r="S16" s="503">
        <f>111540548-106246311</f>
        <v>5294237</v>
      </c>
      <c r="T16" s="78"/>
      <c r="U16" s="296"/>
      <c r="Y16" s="293">
        <f>D16+G16+P16+S16+V16+J16+M16</f>
        <v>129715666.53782773</v>
      </c>
      <c r="Z16" s="300">
        <v>30</v>
      </c>
      <c r="AA16" s="301">
        <f>F16+I16+L16+O16+R16+U16+X16</f>
        <v>9314382.9824423324</v>
      </c>
      <c r="AB16" s="71"/>
      <c r="AC16" s="141"/>
      <c r="AD16" s="111"/>
      <c r="AO16" s="216">
        <v>500000</v>
      </c>
    </row>
    <row r="17" spans="1:41" ht="16.5" thickTop="1" thickBot="1" x14ac:dyDescent="0.3">
      <c r="A17" s="49">
        <f>A16+1</f>
        <v>2</v>
      </c>
      <c r="B17" s="49">
        <f t="shared" ref="B17:B45" si="2">B16+1</f>
        <v>2016</v>
      </c>
      <c r="C17" s="49">
        <f t="shared" si="0"/>
        <v>2019</v>
      </c>
      <c r="D17" s="54">
        <f>D16*1.07375-F16*1.07375^0.5</f>
        <v>116596191.11135384</v>
      </c>
      <c r="E17" s="63">
        <f>E16-1</f>
        <v>16</v>
      </c>
      <c r="F17" s="56">
        <f>-PMT(1.07375/1.03-1,E17,D17*1.07375^0.5,0,1)</f>
        <v>10128733.709049543</v>
      </c>
      <c r="G17" s="54">
        <f t="shared" ref="G17:G31" si="3">G16*1.07-I16*1.07^0.5</f>
        <v>-30901518.120493975</v>
      </c>
      <c r="H17" s="63">
        <f t="shared" ref="H17:H31" si="4">H16-1</f>
        <v>28</v>
      </c>
      <c r="I17" s="55">
        <f t="shared" si="1"/>
        <v>-1183201.6952997039</v>
      </c>
      <c r="J17" s="56">
        <f>J16*1.07-L16*1.07^0.5</f>
        <v>12170112.906259399</v>
      </c>
      <c r="K17" s="63">
        <f>K16-1</f>
        <v>29</v>
      </c>
      <c r="L17" s="56">
        <f>L$16*MIN(K$5,K$16+1-K17)*(1+K$3)^(K$16-K17)*IF(K17&lt;K$5,K17/K$5,1)</f>
        <v>314655.84942082094</v>
      </c>
      <c r="M17" s="293">
        <f>M16*1.075</f>
        <v>20350425.295730624</v>
      </c>
      <c r="N17" s="245">
        <v>30</v>
      </c>
      <c r="O17" s="55">
        <f>IF(N17&gt;0,-PMT((1+N2)/(1+N3)-1,N6,M17,0,1)*((1+N2)^0.5)/N7,0)</f>
        <v>269792.08852632367</v>
      </c>
      <c r="P17" s="293">
        <f>P15*1.07375^2</f>
        <v>5814211.7393562496</v>
      </c>
      <c r="Q17" s="245">
        <v>20</v>
      </c>
      <c r="R17" s="56">
        <f>IF(Q17&gt;0,-PMT((1+Q2)/(1+Q3)-1,Q6,P17,0,1)*((1+Q2)^0.5)/Q7,0)</f>
        <v>106163.99506743703</v>
      </c>
      <c r="S17" s="316">
        <f>S16*1.07375</f>
        <v>5684686.9787499998</v>
      </c>
      <c r="T17" s="16"/>
      <c r="U17" s="19"/>
      <c r="V17" s="503">
        <f>122933600-111540548</f>
        <v>11393052</v>
      </c>
      <c r="W17" s="78"/>
      <c r="X17" s="78"/>
      <c r="Y17" s="54">
        <f t="shared" ref="Y17:Y46" si="5">D17+G17+P17+S17+V17+J17+M17</f>
        <v>141107161.91095614</v>
      </c>
      <c r="Z17" s="63">
        <f>Z16-1</f>
        <v>29</v>
      </c>
      <c r="AA17" s="297">
        <f t="shared" ref="AA17:AA46" si="6">F17+I17+L17+O17+R17+U17+X17</f>
        <v>9636143.9467644207</v>
      </c>
      <c r="AB17" s="63"/>
      <c r="AC17" s="142"/>
      <c r="AD17" s="111"/>
      <c r="AF17" s="80"/>
      <c r="AO17" s="216">
        <v>500000</v>
      </c>
    </row>
    <row r="18" spans="1:41" ht="16.5" thickTop="1" thickBot="1" x14ac:dyDescent="0.3">
      <c r="A18" s="49">
        <f t="shared" ref="A18:A45" si="7">A17+1</f>
        <v>3</v>
      </c>
      <c r="B18" s="49">
        <f t="shared" si="2"/>
        <v>2017</v>
      </c>
      <c r="C18" s="49">
        <f t="shared" si="0"/>
        <v>2020</v>
      </c>
      <c r="D18" s="54">
        <f>D17*1.0725-F17*1.0725^0.5</f>
        <v>114559938.72053474</v>
      </c>
      <c r="E18" s="63">
        <f t="shared" ref="E18:E32" si="8">E17-1</f>
        <v>15</v>
      </c>
      <c r="F18" s="56">
        <f>-PMT(1.0725/1.03-1,E18,D18*1.0725^0.5,0,1)</f>
        <v>10338419.764752477</v>
      </c>
      <c r="G18" s="54">
        <f t="shared" si="3"/>
        <v>-31840711.038489357</v>
      </c>
      <c r="H18" s="63">
        <f t="shared" si="4"/>
        <v>27</v>
      </c>
      <c r="I18" s="55">
        <f t="shared" si="1"/>
        <v>-1624930.3282115932</v>
      </c>
      <c r="J18" s="56">
        <f t="shared" ref="J18:J45" si="9">J17*1.07-L17*1.07^0.5</f>
        <v>12696538.268191919</v>
      </c>
      <c r="K18" s="63">
        <f t="shared" ref="K18:K45" si="10">K17-1</f>
        <v>28</v>
      </c>
      <c r="L18" s="56">
        <f t="shared" ref="L18:L45" si="11">L$16*MIN(K$5,K$16+1-K18)*(1+K$3)^(K$16-K18)*IF(K18&lt;K$5,K18/K$5,1)</f>
        <v>486143.28735516837</v>
      </c>
      <c r="M18" s="54">
        <f>M17*1.07-O17*1.07^0.5</f>
        <v>21495879.960047137</v>
      </c>
      <c r="N18" s="63">
        <f>N17-1</f>
        <v>29</v>
      </c>
      <c r="O18" s="55">
        <f t="shared" ref="O18:O46" si="12">O$17*MIN(N$5,N$17+1-N18)*(1+N$3)^(N$17-N18)*IF(N18&lt;N$5,N18/N$5,1)</f>
        <v>555771.7023642268</v>
      </c>
      <c r="P18" s="54">
        <f>P17*1.07-R17*1.07^0.5</f>
        <v>6111389.6707068132</v>
      </c>
      <c r="Q18" s="63">
        <f>Q17-1</f>
        <v>19</v>
      </c>
      <c r="R18" s="56">
        <f t="shared" ref="R18:R36" si="13">R$17*MIN(Q$5,Q$17+1-Q18)*(1+Q$3)^(Q$17-Q18)*IF(Q18&lt;Q$5,Q18/Q$5,1)</f>
        <v>218697.8298389203</v>
      </c>
      <c r="S18" s="293">
        <f>S16*1.0725^2</f>
        <v>6089729.19823125</v>
      </c>
      <c r="T18" s="245">
        <v>20</v>
      </c>
      <c r="U18" s="56">
        <f>IF(T18&gt;0,-PMT((1+T2)/(1+T3)-1,T6,S18,0,1)*((1+T2)^0.5)/T7,0)</f>
        <v>111194.77747720129</v>
      </c>
      <c r="V18" s="316">
        <f>V17*1.0725</f>
        <v>12219048.27</v>
      </c>
      <c r="W18" s="16"/>
      <c r="X18" s="16"/>
      <c r="Y18" s="54">
        <f>D18+G18+P18+S18+V18+J18+M18</f>
        <v>141331813.0492225</v>
      </c>
      <c r="Z18" s="63">
        <f t="shared" ref="Z18:Z46" si="14">Z17-1</f>
        <v>28</v>
      </c>
      <c r="AA18" s="297">
        <f t="shared" si="6"/>
        <v>10085297.033576401</v>
      </c>
      <c r="AB18" s="63"/>
      <c r="AC18" s="142"/>
      <c r="AD18" s="111"/>
      <c r="AO18" s="216">
        <v>500000</v>
      </c>
    </row>
    <row r="19" spans="1:41" ht="16.5" thickTop="1" thickBot="1" x14ac:dyDescent="0.3">
      <c r="A19" s="49">
        <f t="shared" si="7"/>
        <v>4</v>
      </c>
      <c r="B19" s="49">
        <f t="shared" si="2"/>
        <v>2018</v>
      </c>
      <c r="C19" s="49">
        <f t="shared" si="0"/>
        <v>2021</v>
      </c>
      <c r="D19" s="54">
        <f>D18*1.07-F18*1.07^0.5</f>
        <v>111884989.87151907</v>
      </c>
      <c r="E19" s="63">
        <f t="shared" si="8"/>
        <v>14</v>
      </c>
      <c r="F19" s="56">
        <f>-PMT(1.07/1.03-1,E19,D19*1.07^0.5,0,1)</f>
        <v>10465940.32894823</v>
      </c>
      <c r="G19" s="54">
        <f t="shared" si="3"/>
        <v>-32388719.809913788</v>
      </c>
      <c r="H19" s="63">
        <f t="shared" si="4"/>
        <v>26</v>
      </c>
      <c r="I19" s="55">
        <f t="shared" si="1"/>
        <v>-2092097.7975724263</v>
      </c>
      <c r="J19" s="56">
        <f t="shared" si="9"/>
        <v>13082425.420339141</v>
      </c>
      <c r="K19" s="63">
        <f t="shared" si="10"/>
        <v>27</v>
      </c>
      <c r="L19" s="56">
        <f t="shared" si="11"/>
        <v>667636.78130109783</v>
      </c>
      <c r="M19" s="54">
        <f t="shared" ref="M19:M46" si="15">M18*1.07-O18*1.07^0.5</f>
        <v>22425696.838098094</v>
      </c>
      <c r="N19" s="63">
        <f t="shared" ref="N19:N46" si="16">N18-1</f>
        <v>28</v>
      </c>
      <c r="O19" s="55">
        <f t="shared" si="12"/>
        <v>858667.28015273029</v>
      </c>
      <c r="P19" s="54">
        <f t="shared" ref="P19:P36" si="17">P18*1.07-R18*1.07^0.5</f>
        <v>6312964.1534232795</v>
      </c>
      <c r="Q19" s="63">
        <f t="shared" ref="Q19:Q36" si="18">Q18-1</f>
        <v>18</v>
      </c>
      <c r="R19" s="56">
        <f t="shared" si="13"/>
        <v>337888.14710113179</v>
      </c>
      <c r="S19" s="54">
        <f>S18*1.07-U18*1.07^0.5</f>
        <v>6400989.4699144177</v>
      </c>
      <c r="T19" s="63">
        <f>T18-1</f>
        <v>19</v>
      </c>
      <c r="U19" s="56">
        <f t="shared" ref="U19:U36" si="19">U$18*MIN(T$5,T$18+1-T19)*(1+T$3)^(T$18-T19)*IF(T19&lt;T$5,T19/T$5,1)</f>
        <v>229061.24160303466</v>
      </c>
      <c r="V19" s="293">
        <f>V17*1.07^2</f>
        <v>13043905.2348</v>
      </c>
      <c r="W19" s="245">
        <v>20</v>
      </c>
      <c r="X19" s="56">
        <f>IF(W19&gt;0,-PMT((1+W2)/(1+W3)-1,W6,V19,0,1)*((1+W2)^0.5)/W7,0)</f>
        <v>238173.83216950882</v>
      </c>
      <c r="Y19" s="54">
        <f>D19+G19+P19+S19+V19+J19+M19</f>
        <v>140762251.17818022</v>
      </c>
      <c r="Z19" s="63">
        <f t="shared" si="14"/>
        <v>27</v>
      </c>
      <c r="AA19" s="297">
        <f t="shared" si="6"/>
        <v>10705269.813703308</v>
      </c>
      <c r="AB19" s="63"/>
      <c r="AC19" s="142"/>
      <c r="AD19" s="111"/>
      <c r="AO19" s="216">
        <v>500000</v>
      </c>
    </row>
    <row r="20" spans="1:41" ht="15.75" thickTop="1" x14ac:dyDescent="0.25">
      <c r="A20" s="49">
        <f t="shared" si="7"/>
        <v>5</v>
      </c>
      <c r="B20" s="49">
        <f t="shared" si="2"/>
        <v>2019</v>
      </c>
      <c r="C20" s="49">
        <f t="shared" si="0"/>
        <v>2022</v>
      </c>
      <c r="D20" s="54">
        <f t="shared" ref="D20:D32" si="20">D19*1.07-F19*1.07^0.5</f>
        <v>108890886.30578476</v>
      </c>
      <c r="E20" s="63">
        <f t="shared" si="8"/>
        <v>13</v>
      </c>
      <c r="F20" s="56">
        <f t="shared" ref="F20:F32" si="21">-PMT(1.07/1.03-1,E20,D20*1.07^0.5,0,1)</f>
        <v>10779918.538816681</v>
      </c>
      <c r="G20" s="54">
        <f t="shared" si="3"/>
        <v>-32491847.407472849</v>
      </c>
      <c r="H20" s="63">
        <f t="shared" si="4"/>
        <v>25</v>
      </c>
      <c r="I20" s="55">
        <f t="shared" si="1"/>
        <v>-2154860.7314995988</v>
      </c>
      <c r="J20" s="56">
        <f t="shared" si="9"/>
        <v>13307586.343196215</v>
      </c>
      <c r="K20" s="63">
        <f t="shared" si="10"/>
        <v>26</v>
      </c>
      <c r="L20" s="56">
        <f t="shared" si="11"/>
        <v>859582.35592516337</v>
      </c>
      <c r="M20" s="54">
        <f t="shared" si="15"/>
        <v>23107283.275674596</v>
      </c>
      <c r="N20" s="63">
        <f t="shared" si="16"/>
        <v>27</v>
      </c>
      <c r="O20" s="55">
        <f t="shared" si="12"/>
        <v>1179236.3980764165</v>
      </c>
      <c r="P20" s="54">
        <f t="shared" si="17"/>
        <v>6405357.4270729078</v>
      </c>
      <c r="Q20" s="63">
        <f t="shared" si="18"/>
        <v>17</v>
      </c>
      <c r="R20" s="56">
        <f t="shared" si="13"/>
        <v>464033.05535222107</v>
      </c>
      <c r="S20" s="54">
        <f t="shared" ref="S20:S36" si="22">S19*1.07-U19*1.07^0.5</f>
        <v>6612115.9420908056</v>
      </c>
      <c r="T20" s="63">
        <f t="shared" ref="T20:T36" si="23">T19-1</f>
        <v>18</v>
      </c>
      <c r="U20" s="56">
        <f t="shared" si="19"/>
        <v>353899.6182766885</v>
      </c>
      <c r="V20" s="54">
        <f>V19*1.07-X19*1.07^0.5</f>
        <v>13710609.673541311</v>
      </c>
      <c r="W20" s="63">
        <f>W19-1</f>
        <v>19</v>
      </c>
      <c r="X20" s="56">
        <f t="shared" ref="X20:X38" si="24">X$19*MIN(W$5,W$19+1-W20)*(1+W$3)^(W$19-W20)*IF(W20&lt;W$5,W20/W$5,1)</f>
        <v>490638.09426918818</v>
      </c>
      <c r="Y20" s="54">
        <f t="shared" si="5"/>
        <v>139541991.55988777</v>
      </c>
      <c r="Z20" s="63">
        <f t="shared" si="14"/>
        <v>26</v>
      </c>
      <c r="AA20" s="297">
        <f t="shared" si="6"/>
        <v>11972447.32921676</v>
      </c>
      <c r="AB20" s="63"/>
      <c r="AC20" s="142"/>
      <c r="AD20" s="111"/>
      <c r="AO20" s="216">
        <v>500000</v>
      </c>
    </row>
    <row r="21" spans="1:41" x14ac:dyDescent="0.25">
      <c r="A21" s="49">
        <f t="shared" si="7"/>
        <v>6</v>
      </c>
      <c r="B21" s="49">
        <f t="shared" si="2"/>
        <v>2020</v>
      </c>
      <c r="C21" s="49">
        <f t="shared" si="0"/>
        <v>2023</v>
      </c>
      <c r="D21" s="54">
        <f t="shared" si="20"/>
        <v>105362413.90474683</v>
      </c>
      <c r="E21" s="63">
        <f t="shared" si="8"/>
        <v>12</v>
      </c>
      <c r="F21" s="56">
        <f t="shared" si="21"/>
        <v>11103316.094981181</v>
      </c>
      <c r="G21" s="54">
        <f t="shared" si="3"/>
        <v>-32537271.453186996</v>
      </c>
      <c r="H21" s="63">
        <f t="shared" si="4"/>
        <v>24</v>
      </c>
      <c r="I21" s="55">
        <f t="shared" si="1"/>
        <v>-2219506.5534445872</v>
      </c>
      <c r="J21" s="56">
        <f t="shared" si="9"/>
        <v>13349958.484390371</v>
      </c>
      <c r="K21" s="63">
        <f t="shared" si="10"/>
        <v>25</v>
      </c>
      <c r="L21" s="56">
        <f t="shared" si="11"/>
        <v>885369.82660291821</v>
      </c>
      <c r="M21" s="54">
        <f t="shared" si="15"/>
        <v>23504981.489874382</v>
      </c>
      <c r="N21" s="63">
        <f t="shared" si="16"/>
        <v>26</v>
      </c>
      <c r="O21" s="55">
        <f t="shared" si="12"/>
        <v>1518266.862523386</v>
      </c>
      <c r="P21" s="54">
        <f t="shared" si="17"/>
        <v>6373732.9221644094</v>
      </c>
      <c r="Q21" s="63">
        <f t="shared" si="18"/>
        <v>16</v>
      </c>
      <c r="R21" s="56">
        <f t="shared" si="13"/>
        <v>597442.55876598461</v>
      </c>
      <c r="S21" s="54">
        <f t="shared" si="22"/>
        <v>6708887.4463784378</v>
      </c>
      <c r="T21" s="63">
        <f t="shared" si="23"/>
        <v>17</v>
      </c>
      <c r="U21" s="56">
        <f t="shared" si="19"/>
        <v>486022.14243331895</v>
      </c>
      <c r="V21" s="54">
        <f t="shared" ref="V21:V38" si="25">V20*1.07-X20*1.07^0.5</f>
        <v>14162832.359638145</v>
      </c>
      <c r="W21" s="63">
        <f t="shared" ref="W21:W38" si="26">W20-1</f>
        <v>18</v>
      </c>
      <c r="X21" s="56">
        <f t="shared" si="24"/>
        <v>758035.8556458957</v>
      </c>
      <c r="Y21" s="54">
        <f t="shared" si="5"/>
        <v>136925535.15400559</v>
      </c>
      <c r="Z21" s="63">
        <f t="shared" si="14"/>
        <v>25</v>
      </c>
      <c r="AA21" s="297">
        <f t="shared" si="6"/>
        <v>13128946.787508098</v>
      </c>
      <c r="AB21" s="63"/>
      <c r="AC21" s="142"/>
      <c r="AD21" s="111"/>
      <c r="AO21" s="216">
        <v>500000</v>
      </c>
    </row>
    <row r="22" spans="1:41" x14ac:dyDescent="0.25">
      <c r="A22" s="49">
        <f t="shared" si="7"/>
        <v>7</v>
      </c>
      <c r="B22" s="49">
        <f t="shared" si="2"/>
        <v>2021</v>
      </c>
      <c r="C22" s="49">
        <f t="shared" si="0"/>
        <v>2024</v>
      </c>
      <c r="D22" s="54">
        <f t="shared" si="20"/>
        <v>101252423.40236296</v>
      </c>
      <c r="E22" s="63">
        <f t="shared" si="8"/>
        <v>11</v>
      </c>
      <c r="F22" s="56">
        <f t="shared" si="21"/>
        <v>11436415.577830616</v>
      </c>
      <c r="G22" s="54">
        <f t="shared" si="3"/>
        <v>-32519005.023916863</v>
      </c>
      <c r="H22" s="63">
        <f t="shared" si="4"/>
        <v>23</v>
      </c>
      <c r="I22" s="55">
        <f t="shared" si="1"/>
        <v>-2286091.7500479249</v>
      </c>
      <c r="J22" s="56">
        <f t="shared" si="9"/>
        <v>13368621.908383228</v>
      </c>
      <c r="K22" s="63">
        <f t="shared" si="10"/>
        <v>24</v>
      </c>
      <c r="L22" s="56">
        <f t="shared" si="11"/>
        <v>911930.92140100582</v>
      </c>
      <c r="M22" s="54">
        <f t="shared" si="15"/>
        <v>23579822.739727642</v>
      </c>
      <c r="N22" s="63">
        <f t="shared" si="16"/>
        <v>25</v>
      </c>
      <c r="O22" s="55">
        <f t="shared" si="12"/>
        <v>1563814.8683990873</v>
      </c>
      <c r="P22" s="54">
        <f t="shared" si="17"/>
        <v>6201894.8385312809</v>
      </c>
      <c r="Q22" s="63">
        <f t="shared" si="18"/>
        <v>15</v>
      </c>
      <c r="R22" s="56">
        <f t="shared" si="13"/>
        <v>615365.83552896418</v>
      </c>
      <c r="S22" s="54">
        <f t="shared" si="22"/>
        <v>6675764.3542802799</v>
      </c>
      <c r="T22" s="63">
        <f t="shared" si="23"/>
        <v>16</v>
      </c>
      <c r="U22" s="56">
        <f t="shared" si="19"/>
        <v>625753.50838289806</v>
      </c>
      <c r="V22" s="54">
        <f t="shared" si="25"/>
        <v>14370112.238638928</v>
      </c>
      <c r="W22" s="63">
        <f t="shared" si="26"/>
        <v>17</v>
      </c>
      <c r="X22" s="56">
        <f t="shared" si="24"/>
        <v>1041035.9084203634</v>
      </c>
      <c r="Y22" s="54">
        <f t="shared" si="5"/>
        <v>132929634.45800745</v>
      </c>
      <c r="Z22" s="63">
        <f t="shared" si="14"/>
        <v>24</v>
      </c>
      <c r="AA22" s="297">
        <f t="shared" si="6"/>
        <v>13908224.869915009</v>
      </c>
      <c r="AB22" s="63"/>
      <c r="AC22" s="142"/>
      <c r="AD22" s="111"/>
      <c r="AO22" s="216">
        <v>500000</v>
      </c>
    </row>
    <row r="23" spans="1:41" x14ac:dyDescent="0.25">
      <c r="A23" s="49">
        <f t="shared" si="7"/>
        <v>8</v>
      </c>
      <c r="B23" s="49">
        <f t="shared" si="2"/>
        <v>2022</v>
      </c>
      <c r="C23" s="49">
        <f t="shared" si="0"/>
        <v>2025</v>
      </c>
      <c r="D23" s="54">
        <f t="shared" si="20"/>
        <v>96510172.780540735</v>
      </c>
      <c r="E23" s="63">
        <f t="shared" si="8"/>
        <v>10</v>
      </c>
      <c r="F23" s="56">
        <f t="shared" si="21"/>
        <v>11779508.045165539</v>
      </c>
      <c r="G23" s="54">
        <f t="shared" si="3"/>
        <v>-32430583.681668028</v>
      </c>
      <c r="H23" s="63">
        <f t="shared" si="4"/>
        <v>22</v>
      </c>
      <c r="I23" s="55">
        <f t="shared" si="1"/>
        <v>-2354674.5025493624</v>
      </c>
      <c r="J23" s="56">
        <f t="shared" si="9"/>
        <v>13361116.761958152</v>
      </c>
      <c r="K23" s="63">
        <f t="shared" si="10"/>
        <v>23</v>
      </c>
      <c r="L23" s="56">
        <f t="shared" si="11"/>
        <v>939288.84904303611</v>
      </c>
      <c r="M23" s="54">
        <f t="shared" si="15"/>
        <v>23612787.653437492</v>
      </c>
      <c r="N23" s="63">
        <f t="shared" si="16"/>
        <v>24</v>
      </c>
      <c r="O23" s="55">
        <f t="shared" si="12"/>
        <v>1610729.31445106</v>
      </c>
      <c r="P23" s="54">
        <f t="shared" si="17"/>
        <v>5999488.1073982939</v>
      </c>
      <c r="Q23" s="63">
        <f t="shared" si="18"/>
        <v>14</v>
      </c>
      <c r="R23" s="56">
        <f t="shared" si="13"/>
        <v>633826.81059483311</v>
      </c>
      <c r="S23" s="54">
        <f t="shared" si="22"/>
        <v>6495783.3968986645</v>
      </c>
      <c r="T23" s="63">
        <f t="shared" si="23"/>
        <v>15</v>
      </c>
      <c r="U23" s="56">
        <f t="shared" si="19"/>
        <v>644526.11363438494</v>
      </c>
      <c r="V23" s="54">
        <f t="shared" si="25"/>
        <v>14299164.178331515</v>
      </c>
      <c r="W23" s="63">
        <f t="shared" si="26"/>
        <v>16</v>
      </c>
      <c r="X23" s="56">
        <f t="shared" si="24"/>
        <v>1340333.732091218</v>
      </c>
      <c r="Y23" s="54">
        <f t="shared" si="5"/>
        <v>127847929.19689681</v>
      </c>
      <c r="Z23" s="63">
        <f t="shared" si="14"/>
        <v>23</v>
      </c>
      <c r="AA23" s="297">
        <f t="shared" si="6"/>
        <v>14593538.362430708</v>
      </c>
      <c r="AB23" s="63"/>
      <c r="AC23" s="142"/>
      <c r="AD23" s="111"/>
      <c r="AO23" s="216">
        <v>500000</v>
      </c>
    </row>
    <row r="24" spans="1:41" x14ac:dyDescent="0.25">
      <c r="A24" s="49">
        <f t="shared" si="7"/>
        <v>9</v>
      </c>
      <c r="B24" s="49">
        <f t="shared" si="2"/>
        <v>2023</v>
      </c>
      <c r="C24" s="49">
        <f t="shared" si="0"/>
        <v>2026</v>
      </c>
      <c r="D24" s="54">
        <f t="shared" si="20"/>
        <v>91081067.007391319</v>
      </c>
      <c r="E24" s="63">
        <f t="shared" si="8"/>
        <v>9</v>
      </c>
      <c r="F24" s="56">
        <f t="shared" si="21"/>
        <v>12132893.286520507</v>
      </c>
      <c r="G24" s="54">
        <f t="shared" si="3"/>
        <v>-32265030.29464408</v>
      </c>
      <c r="H24" s="63">
        <f t="shared" si="4"/>
        <v>21</v>
      </c>
      <c r="I24" s="55">
        <f t="shared" si="1"/>
        <v>-2425314.7376258429</v>
      </c>
      <c r="J24" s="56">
        <f t="shared" si="9"/>
        <v>13324786.994882965</v>
      </c>
      <c r="K24" s="63">
        <f t="shared" si="10"/>
        <v>22</v>
      </c>
      <c r="L24" s="56">
        <f t="shared" si="11"/>
        <v>967467.51451432705</v>
      </c>
      <c r="M24" s="54">
        <f t="shared" si="15"/>
        <v>23599531.430764899</v>
      </c>
      <c r="N24" s="63">
        <f t="shared" si="16"/>
        <v>23</v>
      </c>
      <c r="O24" s="55">
        <f t="shared" si="12"/>
        <v>1659051.193884592</v>
      </c>
      <c r="P24" s="54">
        <f t="shared" si="17"/>
        <v>5763816.7239910932</v>
      </c>
      <c r="Q24" s="63">
        <f t="shared" si="18"/>
        <v>13</v>
      </c>
      <c r="R24" s="56">
        <f t="shared" si="13"/>
        <v>652841.61491267814</v>
      </c>
      <c r="S24" s="54">
        <f t="shared" si="22"/>
        <v>6283785.2386348993</v>
      </c>
      <c r="T24" s="63">
        <f t="shared" si="23"/>
        <v>14</v>
      </c>
      <c r="U24" s="56">
        <f t="shared" si="19"/>
        <v>663861.89704341651</v>
      </c>
      <c r="V24" s="54">
        <f t="shared" si="25"/>
        <v>13913653.677661592</v>
      </c>
      <c r="W24" s="63">
        <f t="shared" si="26"/>
        <v>15</v>
      </c>
      <c r="X24" s="56">
        <f t="shared" si="24"/>
        <v>1380543.7440539545</v>
      </c>
      <c r="Y24" s="54">
        <f t="shared" si="5"/>
        <v>121701610.77868269</v>
      </c>
      <c r="Z24" s="63">
        <f t="shared" si="14"/>
        <v>22</v>
      </c>
      <c r="AA24" s="297">
        <f t="shared" si="6"/>
        <v>15031344.513303632</v>
      </c>
      <c r="AB24" s="63"/>
      <c r="AC24" s="142"/>
      <c r="AD24" s="111"/>
      <c r="AO24" s="216">
        <v>500000</v>
      </c>
    </row>
    <row r="25" spans="1:41" x14ac:dyDescent="0.25">
      <c r="A25" s="49">
        <f t="shared" si="7"/>
        <v>10</v>
      </c>
      <c r="B25" s="49">
        <f t="shared" si="2"/>
        <v>2024</v>
      </c>
      <c r="C25" s="49">
        <f t="shared" si="0"/>
        <v>2027</v>
      </c>
      <c r="D25" s="54">
        <f t="shared" si="20"/>
        <v>84906379.294087827</v>
      </c>
      <c r="E25" s="63">
        <f t="shared" si="8"/>
        <v>8</v>
      </c>
      <c r="F25" s="56">
        <f t="shared" si="21"/>
        <v>12496880.085116122</v>
      </c>
      <c r="G25" s="54">
        <f t="shared" si="3"/>
        <v>-32014817.343186237</v>
      </c>
      <c r="H25" s="63">
        <f t="shared" si="4"/>
        <v>20</v>
      </c>
      <c r="I25" s="55">
        <f t="shared" si="1"/>
        <v>-2498074.1797546186</v>
      </c>
      <c r="J25" s="56">
        <f t="shared" si="9"/>
        <v>13256765.905900147</v>
      </c>
      <c r="K25" s="63">
        <f t="shared" si="10"/>
        <v>21</v>
      </c>
      <c r="L25" s="56">
        <f t="shared" si="11"/>
        <v>996491.53994975693</v>
      </c>
      <c r="M25" s="54">
        <f t="shared" si="15"/>
        <v>23535362.731752824</v>
      </c>
      <c r="N25" s="63">
        <f t="shared" si="16"/>
        <v>22</v>
      </c>
      <c r="O25" s="55">
        <f t="shared" si="12"/>
        <v>1708822.7297011295</v>
      </c>
      <c r="P25" s="54">
        <f t="shared" si="17"/>
        <v>5491979.277217635</v>
      </c>
      <c r="Q25" s="63">
        <f t="shared" si="18"/>
        <v>12</v>
      </c>
      <c r="R25" s="56">
        <f t="shared" si="13"/>
        <v>672426.8633600584</v>
      </c>
      <c r="S25" s="54">
        <f t="shared" si="22"/>
        <v>6036946.1194112701</v>
      </c>
      <c r="T25" s="63">
        <f t="shared" si="23"/>
        <v>13</v>
      </c>
      <c r="U25" s="56">
        <f t="shared" si="19"/>
        <v>683777.75395471905</v>
      </c>
      <c r="V25" s="54">
        <f t="shared" si="25"/>
        <v>13459563.882150183</v>
      </c>
      <c r="W25" s="63">
        <f t="shared" si="26"/>
        <v>14</v>
      </c>
      <c r="X25" s="56">
        <f t="shared" si="24"/>
        <v>1421960.0563755732</v>
      </c>
      <c r="Y25" s="54">
        <f t="shared" si="5"/>
        <v>114672179.86733365</v>
      </c>
      <c r="Z25" s="63">
        <f t="shared" si="14"/>
        <v>21</v>
      </c>
      <c r="AA25" s="297">
        <f t="shared" si="6"/>
        <v>15482284.84870274</v>
      </c>
      <c r="AB25" s="63"/>
      <c r="AC25" s="142"/>
      <c r="AD25" s="111"/>
      <c r="AO25" s="216">
        <v>500000</v>
      </c>
    </row>
    <row r="26" spans="1:41" x14ac:dyDescent="0.25">
      <c r="A26" s="49">
        <f t="shared" si="7"/>
        <v>11</v>
      </c>
      <c r="B26" s="49">
        <f t="shared" si="2"/>
        <v>2025</v>
      </c>
      <c r="C26" s="49">
        <f t="shared" si="0"/>
        <v>2028</v>
      </c>
      <c r="D26" s="54">
        <f t="shared" si="20"/>
        <v>77922952.568738461</v>
      </c>
      <c r="E26" s="63">
        <f t="shared" si="8"/>
        <v>7</v>
      </c>
      <c r="F26" s="56">
        <f t="shared" si="21"/>
        <v>12871786.487669604</v>
      </c>
      <c r="G26" s="54">
        <f t="shared" si="3"/>
        <v>-31671826.532963857</v>
      </c>
      <c r="H26" s="63">
        <f t="shared" si="4"/>
        <v>19</v>
      </c>
      <c r="I26" s="55">
        <f t="shared" si="1"/>
        <v>-2573016.4051472573</v>
      </c>
      <c r="J26" s="56">
        <f t="shared" si="9"/>
        <v>13153960.655329792</v>
      </c>
      <c r="K26" s="63">
        <f t="shared" si="10"/>
        <v>20</v>
      </c>
      <c r="L26" s="56">
        <f t="shared" si="11"/>
        <v>1026386.2861482496</v>
      </c>
      <c r="M26" s="54">
        <f t="shared" si="15"/>
        <v>23415218.14683494</v>
      </c>
      <c r="N26" s="63">
        <f t="shared" si="16"/>
        <v>21</v>
      </c>
      <c r="O26" s="55">
        <f t="shared" si="12"/>
        <v>1760087.4115921636</v>
      </c>
      <c r="P26" s="54">
        <f t="shared" si="17"/>
        <v>5180854.0706464499</v>
      </c>
      <c r="Q26" s="63">
        <f t="shared" si="18"/>
        <v>11</v>
      </c>
      <c r="R26" s="56">
        <f t="shared" si="13"/>
        <v>692599.66926086019</v>
      </c>
      <c r="S26" s="54">
        <f t="shared" si="22"/>
        <v>5752227.1392641449</v>
      </c>
      <c r="T26" s="63">
        <f t="shared" si="23"/>
        <v>12</v>
      </c>
      <c r="U26" s="56">
        <f t="shared" si="19"/>
        <v>704291.0865733606</v>
      </c>
      <c r="V26" s="54">
        <f t="shared" si="25"/>
        <v>12930846.434364541</v>
      </c>
      <c r="W26" s="63">
        <f t="shared" si="26"/>
        <v>13</v>
      </c>
      <c r="X26" s="56">
        <f t="shared" si="24"/>
        <v>1464618.8580668403</v>
      </c>
      <c r="Y26" s="54">
        <f t="shared" si="5"/>
        <v>106684232.48221447</v>
      </c>
      <c r="Z26" s="63">
        <f t="shared" si="14"/>
        <v>20</v>
      </c>
      <c r="AA26" s="297">
        <f t="shared" si="6"/>
        <v>15946753.394163821</v>
      </c>
      <c r="AB26" s="63"/>
      <c r="AC26" s="142"/>
      <c r="AD26" s="111"/>
      <c r="AO26" s="216">
        <v>500000</v>
      </c>
    </row>
    <row r="27" spans="1:41" x14ac:dyDescent="0.25">
      <c r="A27" s="49">
        <f t="shared" si="7"/>
        <v>12</v>
      </c>
      <c r="B27" s="49">
        <f t="shared" si="2"/>
        <v>2026</v>
      </c>
      <c r="C27" s="49">
        <f t="shared" si="0"/>
        <v>2029</v>
      </c>
      <c r="D27" s="54">
        <f t="shared" si="20"/>
        <v>70062879.774336576</v>
      </c>
      <c r="E27" s="63">
        <f t="shared" si="8"/>
        <v>6</v>
      </c>
      <c r="F27" s="56">
        <f t="shared" si="21"/>
        <v>13257940.082299702</v>
      </c>
      <c r="G27" s="54">
        <f t="shared" si="3"/>
        <v>-31227305.525298547</v>
      </c>
      <c r="H27" s="63">
        <f t="shared" si="4"/>
        <v>18</v>
      </c>
      <c r="I27" s="55">
        <f t="shared" si="1"/>
        <v>-2650206.8973016744</v>
      </c>
      <c r="J27" s="56">
        <f t="shared" si="9"/>
        <v>13013035.671300011</v>
      </c>
      <c r="K27" s="63">
        <f t="shared" si="10"/>
        <v>19</v>
      </c>
      <c r="L27" s="56">
        <f t="shared" si="11"/>
        <v>1057177.8747326971</v>
      </c>
      <c r="M27" s="54">
        <f t="shared" si="15"/>
        <v>23233634.841688581</v>
      </c>
      <c r="N27" s="63">
        <f t="shared" si="16"/>
        <v>20</v>
      </c>
      <c r="O27" s="55">
        <f t="shared" si="12"/>
        <v>1812890.0339399285</v>
      </c>
      <c r="P27" s="54">
        <f t="shared" si="17"/>
        <v>4827083.1869359892</v>
      </c>
      <c r="Q27" s="63">
        <f t="shared" si="18"/>
        <v>10</v>
      </c>
      <c r="R27" s="56">
        <f t="shared" si="13"/>
        <v>713377.65933868592</v>
      </c>
      <c r="S27" s="54">
        <f t="shared" si="22"/>
        <v>5426358.6742515434</v>
      </c>
      <c r="T27" s="63">
        <f t="shared" si="23"/>
        <v>11</v>
      </c>
      <c r="U27" s="56">
        <f t="shared" si="19"/>
        <v>725419.81917056139</v>
      </c>
      <c r="V27" s="54">
        <f t="shared" si="25"/>
        <v>12320992.15764782</v>
      </c>
      <c r="W27" s="63">
        <f t="shared" si="26"/>
        <v>12</v>
      </c>
      <c r="X27" s="56">
        <f t="shared" si="24"/>
        <v>1508557.4238088455</v>
      </c>
      <c r="Y27" s="54">
        <f t="shared" si="5"/>
        <v>97656678.780861974</v>
      </c>
      <c r="Z27" s="63">
        <f t="shared" si="14"/>
        <v>19</v>
      </c>
      <c r="AA27" s="297">
        <f t="shared" si="6"/>
        <v>16425155.995988745</v>
      </c>
      <c r="AB27" s="63"/>
      <c r="AC27" s="142"/>
      <c r="AD27" s="111"/>
      <c r="AO27" s="216">
        <v>500000</v>
      </c>
    </row>
    <row r="28" spans="1:41" s="50" customFormat="1" x14ac:dyDescent="0.25">
      <c r="A28" s="49">
        <f t="shared" si="7"/>
        <v>13</v>
      </c>
      <c r="B28" s="49">
        <f t="shared" si="2"/>
        <v>2027</v>
      </c>
      <c r="C28" s="49">
        <f t="shared" si="0"/>
        <v>2030</v>
      </c>
      <c r="D28" s="54">
        <f t="shared" si="20"/>
        <v>61253161.500100143</v>
      </c>
      <c r="E28" s="63">
        <f t="shared" si="8"/>
        <v>5</v>
      </c>
      <c r="F28" s="56">
        <f t="shared" si="21"/>
        <v>13655678.284768691</v>
      </c>
      <c r="G28" s="54">
        <f t="shared" si="3"/>
        <v>-30671821.581147484</v>
      </c>
      <c r="H28" s="63">
        <f t="shared" si="4"/>
        <v>17</v>
      </c>
      <c r="I28" s="55">
        <f t="shared" si="1"/>
        <v>-2729713.1042207247</v>
      </c>
      <c r="J28" s="56">
        <f t="shared" si="9"/>
        <v>12830394.87149106</v>
      </c>
      <c r="K28" s="63">
        <f t="shared" si="10"/>
        <v>18</v>
      </c>
      <c r="L28" s="56">
        <f t="shared" si="11"/>
        <v>1088893.2109746779</v>
      </c>
      <c r="M28" s="54">
        <f t="shared" si="15"/>
        <v>22984721.247919235</v>
      </c>
      <c r="N28" s="63">
        <f t="shared" si="16"/>
        <v>19</v>
      </c>
      <c r="O28" s="55">
        <f t="shared" si="12"/>
        <v>1867276.7349581264</v>
      </c>
      <c r="P28" s="54">
        <f t="shared" si="17"/>
        <v>4427055.4213061258</v>
      </c>
      <c r="Q28" s="63">
        <f t="shared" si="18"/>
        <v>9</v>
      </c>
      <c r="R28" s="56">
        <f t="shared" si="13"/>
        <v>734778.9891188466</v>
      </c>
      <c r="S28" s="54">
        <f t="shared" si="22"/>
        <v>5055823.6857452272</v>
      </c>
      <c r="T28" s="63">
        <f t="shared" si="23"/>
        <v>10</v>
      </c>
      <c r="U28" s="56">
        <f t="shared" si="19"/>
        <v>747182.41374567826</v>
      </c>
      <c r="V28" s="54">
        <f t="shared" si="25"/>
        <v>11622997.675747262</v>
      </c>
      <c r="W28" s="63">
        <f t="shared" si="26"/>
        <v>11</v>
      </c>
      <c r="X28" s="56">
        <f t="shared" si="24"/>
        <v>1553814.1465231108</v>
      </c>
      <c r="Y28" s="54">
        <f t="shared" si="5"/>
        <v>87502332.821161568</v>
      </c>
      <c r="Z28" s="63">
        <f t="shared" si="14"/>
        <v>18</v>
      </c>
      <c r="AA28" s="297">
        <f t="shared" si="6"/>
        <v>16917910.675868411</v>
      </c>
      <c r="AB28" s="63"/>
      <c r="AC28" s="142"/>
      <c r="AD28" s="111"/>
      <c r="AE28" s="73"/>
      <c r="AF28" s="49"/>
      <c r="AO28" s="216">
        <v>500000</v>
      </c>
    </row>
    <row r="29" spans="1:41" s="50" customFormat="1" x14ac:dyDescent="0.25">
      <c r="A29" s="49">
        <f t="shared" si="7"/>
        <v>14</v>
      </c>
      <c r="B29" s="49">
        <f t="shared" si="2"/>
        <v>2028</v>
      </c>
      <c r="C29" s="49">
        <f t="shared" si="0"/>
        <v>2031</v>
      </c>
      <c r="D29" s="54">
        <f t="shared" si="20"/>
        <v>51415339.350913957</v>
      </c>
      <c r="E29" s="63">
        <f t="shared" si="8"/>
        <v>4</v>
      </c>
      <c r="F29" s="56">
        <f t="shared" si="21"/>
        <v>14065348.63331175</v>
      </c>
      <c r="G29" s="54">
        <f t="shared" si="3"/>
        <v>-29995211.900978185</v>
      </c>
      <c r="H29" s="63">
        <f t="shared" si="4"/>
        <v>16</v>
      </c>
      <c r="I29" s="55">
        <f t="shared" si="1"/>
        <v>-2811604.4973473465</v>
      </c>
      <c r="J29" s="56">
        <f t="shared" si="9"/>
        <v>12602162.616791483</v>
      </c>
      <c r="K29" s="63">
        <f t="shared" si="10"/>
        <v>17</v>
      </c>
      <c r="L29" s="56">
        <f t="shared" si="11"/>
        <v>1121560.0073039182</v>
      </c>
      <c r="M29" s="54">
        <f t="shared" si="15"/>
        <v>22662125.66160541</v>
      </c>
      <c r="N29" s="63">
        <f t="shared" si="16"/>
        <v>18</v>
      </c>
      <c r="O29" s="55">
        <f t="shared" si="12"/>
        <v>1923295.0370068699</v>
      </c>
      <c r="P29" s="54">
        <f t="shared" si="17"/>
        <v>3976888.0044207098</v>
      </c>
      <c r="Q29" s="63">
        <f t="shared" si="18"/>
        <v>8</v>
      </c>
      <c r="R29" s="56">
        <f t="shared" si="13"/>
        <v>756822.35879241186</v>
      </c>
      <c r="S29" s="54">
        <f t="shared" si="22"/>
        <v>4636839.8451723503</v>
      </c>
      <c r="T29" s="63">
        <f t="shared" si="23"/>
        <v>9</v>
      </c>
      <c r="U29" s="56">
        <f t="shared" si="19"/>
        <v>769597.88615804864</v>
      </c>
      <c r="V29" s="54">
        <f t="shared" si="25"/>
        <v>10829329.662125587</v>
      </c>
      <c r="W29" s="63">
        <f t="shared" si="26"/>
        <v>10</v>
      </c>
      <c r="X29" s="56">
        <f t="shared" si="24"/>
        <v>1600428.5709188043</v>
      </c>
      <c r="Y29" s="54">
        <f t="shared" si="5"/>
        <v>76127473.240051299</v>
      </c>
      <c r="Z29" s="63">
        <f t="shared" si="14"/>
        <v>17</v>
      </c>
      <c r="AA29" s="297">
        <f t="shared" si="6"/>
        <v>17425447.996144459</v>
      </c>
      <c r="AB29" s="63"/>
      <c r="AC29" s="142"/>
      <c r="AD29" s="111"/>
      <c r="AE29" s="73"/>
      <c r="AF29" s="49"/>
      <c r="AO29" s="216">
        <v>500000</v>
      </c>
    </row>
    <row r="30" spans="1:41" s="50" customFormat="1" x14ac:dyDescent="0.25">
      <c r="A30" s="49">
        <f t="shared" si="7"/>
        <v>15</v>
      </c>
      <c r="B30" s="49">
        <f t="shared" si="2"/>
        <v>2029</v>
      </c>
      <c r="C30" s="49">
        <f t="shared" si="0"/>
        <v>2032</v>
      </c>
      <c r="D30" s="54">
        <f t="shared" si="20"/>
        <v>40465103.34765894</v>
      </c>
      <c r="E30" s="63">
        <f t="shared" si="8"/>
        <v>3</v>
      </c>
      <c r="F30" s="56">
        <f t="shared" si="21"/>
        <v>14487309.092311108</v>
      </c>
      <c r="G30" s="54">
        <f t="shared" si="3"/>
        <v>-29186530.427471548</v>
      </c>
      <c r="H30" s="63">
        <f t="shared" si="4"/>
        <v>15</v>
      </c>
      <c r="I30" s="55">
        <f t="shared" si="1"/>
        <v>-2895952.6322677671</v>
      </c>
      <c r="J30" s="56">
        <f t="shared" si="9"/>
        <v>12324163.307391819</v>
      </c>
      <c r="K30" s="63">
        <f t="shared" si="10"/>
        <v>16</v>
      </c>
      <c r="L30" s="56">
        <f t="shared" si="11"/>
        <v>1155206.8075230359</v>
      </c>
      <c r="M30" s="54">
        <f t="shared" si="15"/>
        <v>22259002.602039572</v>
      </c>
      <c r="N30" s="63">
        <f t="shared" si="16"/>
        <v>17</v>
      </c>
      <c r="O30" s="55">
        <f t="shared" si="12"/>
        <v>1980993.8881170759</v>
      </c>
      <c r="P30" s="54">
        <f t="shared" si="17"/>
        <v>3472407.0294620097</v>
      </c>
      <c r="Q30" s="63">
        <f t="shared" si="18"/>
        <v>7</v>
      </c>
      <c r="R30" s="56">
        <f t="shared" si="13"/>
        <v>779527.02955618419</v>
      </c>
      <c r="S30" s="54">
        <f t="shared" si="22"/>
        <v>4165340.3908021213</v>
      </c>
      <c r="T30" s="63">
        <f t="shared" si="23"/>
        <v>8</v>
      </c>
      <c r="U30" s="56">
        <f t="shared" si="19"/>
        <v>792685.82274278998</v>
      </c>
      <c r="V30" s="54">
        <f t="shared" si="25"/>
        <v>9931886.5520226751</v>
      </c>
      <c r="W30" s="63">
        <f t="shared" si="26"/>
        <v>9</v>
      </c>
      <c r="X30" s="56">
        <f t="shared" si="24"/>
        <v>1648441.4280463683</v>
      </c>
      <c r="Y30" s="54">
        <f t="shared" si="5"/>
        <v>63431372.801905587</v>
      </c>
      <c r="Z30" s="63">
        <f t="shared" si="14"/>
        <v>16</v>
      </c>
      <c r="AA30" s="297">
        <f t="shared" si="6"/>
        <v>17948211.436028797</v>
      </c>
      <c r="AB30" s="63"/>
      <c r="AC30" s="142"/>
      <c r="AD30" s="111"/>
      <c r="AE30" s="73"/>
      <c r="AF30" s="49"/>
      <c r="AO30" s="216">
        <v>500000</v>
      </c>
    </row>
    <row r="31" spans="1:41" s="50" customFormat="1" x14ac:dyDescent="0.25">
      <c r="A31" s="49">
        <f t="shared" si="7"/>
        <v>16</v>
      </c>
      <c r="B31" s="49">
        <f t="shared" si="2"/>
        <v>2030</v>
      </c>
      <c r="C31" s="49">
        <f t="shared" si="0"/>
        <v>2033</v>
      </c>
      <c r="D31" s="54">
        <f t="shared" si="20"/>
        <v>28311871.531441499</v>
      </c>
      <c r="E31" s="63">
        <f t="shared" si="8"/>
        <v>2</v>
      </c>
      <c r="F31" s="56">
        <f t="shared" si="21"/>
        <v>14921928.36508044</v>
      </c>
      <c r="G31" s="54">
        <f t="shared" si="3"/>
        <v>-28233990.861622192</v>
      </c>
      <c r="H31" s="63">
        <f t="shared" si="4"/>
        <v>14</v>
      </c>
      <c r="I31" s="55">
        <f t="shared" si="1"/>
        <v>-2982831.2112357994</v>
      </c>
      <c r="J31" s="56">
        <f t="shared" si="9"/>
        <v>11991899.525556924</v>
      </c>
      <c r="K31" s="63">
        <f t="shared" si="10"/>
        <v>15</v>
      </c>
      <c r="L31" s="56">
        <f t="shared" si="11"/>
        <v>1189863.0117487269</v>
      </c>
      <c r="M31" s="54">
        <f t="shared" si="15"/>
        <v>21767976.772627778</v>
      </c>
      <c r="N31" s="63">
        <f t="shared" si="16"/>
        <v>16</v>
      </c>
      <c r="O31" s="55">
        <f t="shared" si="12"/>
        <v>2040423.7047605885</v>
      </c>
      <c r="P31" s="54">
        <f t="shared" si="17"/>
        <v>2909126.4921981562</v>
      </c>
      <c r="Q31" s="63">
        <f t="shared" si="18"/>
        <v>6</v>
      </c>
      <c r="R31" s="56">
        <f t="shared" si="13"/>
        <v>802912.84044286981</v>
      </c>
      <c r="S31" s="54">
        <f t="shared" si="22"/>
        <v>3636953.6273200074</v>
      </c>
      <c r="T31" s="63">
        <f t="shared" si="23"/>
        <v>7</v>
      </c>
      <c r="U31" s="56">
        <f t="shared" si="19"/>
        <v>816466.39742507366</v>
      </c>
      <c r="V31" s="54">
        <f t="shared" si="25"/>
        <v>8921957.5386190098</v>
      </c>
      <c r="W31" s="63">
        <f t="shared" si="26"/>
        <v>8</v>
      </c>
      <c r="X31" s="56">
        <f t="shared" si="24"/>
        <v>1697894.6708877592</v>
      </c>
      <c r="Y31" s="54">
        <f t="shared" si="5"/>
        <v>49305794.626141183</v>
      </c>
      <c r="Z31" s="63">
        <f t="shared" si="14"/>
        <v>15</v>
      </c>
      <c r="AA31" s="297">
        <f t="shared" si="6"/>
        <v>18486657.779109661</v>
      </c>
      <c r="AB31" s="63"/>
      <c r="AC31" s="142"/>
      <c r="AD31" s="111"/>
      <c r="AE31" s="73"/>
      <c r="AF31" s="49"/>
      <c r="AO31" s="216">
        <v>500000</v>
      </c>
    </row>
    <row r="32" spans="1:41" s="50" customFormat="1" x14ac:dyDescent="0.25">
      <c r="A32" s="49">
        <f t="shared" si="7"/>
        <v>17</v>
      </c>
      <c r="B32" s="49">
        <f t="shared" si="2"/>
        <v>2031</v>
      </c>
      <c r="C32" s="49">
        <f t="shared" si="0"/>
        <v>2034</v>
      </c>
      <c r="D32" s="54">
        <f t="shared" si="20"/>
        <v>14858339.816572228</v>
      </c>
      <c r="E32" s="63">
        <f t="shared" si="8"/>
        <v>1</v>
      </c>
      <c r="F32" s="56">
        <f t="shared" si="21"/>
        <v>15369586.216032855</v>
      </c>
      <c r="G32" s="54">
        <f>G31*1.07-I31*1.07^0.5</f>
        <v>-27124905.625290211</v>
      </c>
      <c r="H32" s="63">
        <f>H31-1</f>
        <v>13</v>
      </c>
      <c r="I32" s="55">
        <f>I$15*MIN(H$5,H$15+1-H32)*(1+H$3)^(H$15-H32)*IF(H32&lt;H$5,H32/H$5,1)</f>
        <v>-3072316.1475728736</v>
      </c>
      <c r="J32" s="56">
        <f t="shared" si="9"/>
        <v>11600528.622593017</v>
      </c>
      <c r="K32" s="63">
        <f t="shared" si="10"/>
        <v>14</v>
      </c>
      <c r="L32" s="56">
        <f t="shared" si="11"/>
        <v>1225558.9021011887</v>
      </c>
      <c r="M32" s="54">
        <f t="shared" si="15"/>
        <v>21181104.454810522</v>
      </c>
      <c r="N32" s="63">
        <f t="shared" si="16"/>
        <v>15</v>
      </c>
      <c r="O32" s="55">
        <f t="shared" si="12"/>
        <v>2101636.4159034062</v>
      </c>
      <c r="P32" s="54">
        <f t="shared" si="17"/>
        <v>2282225.8464460466</v>
      </c>
      <c r="Q32" s="63">
        <f t="shared" si="18"/>
        <v>5</v>
      </c>
      <c r="R32" s="56">
        <f t="shared" si="13"/>
        <v>827000.22565615596</v>
      </c>
      <c r="S32" s="54">
        <f t="shared" si="22"/>
        <v>3046980.9726689979</v>
      </c>
      <c r="T32" s="63">
        <f t="shared" si="23"/>
        <v>6</v>
      </c>
      <c r="U32" s="56">
        <f t="shared" si="19"/>
        <v>840960.3893478259</v>
      </c>
      <c r="V32" s="54">
        <f t="shared" si="25"/>
        <v>7790178.6621157303</v>
      </c>
      <c r="W32" s="63">
        <f t="shared" si="26"/>
        <v>7</v>
      </c>
      <c r="X32" s="56">
        <f t="shared" si="24"/>
        <v>1748831.5110143919</v>
      </c>
      <c r="Y32" s="54">
        <f>D32+G32+P32+S32+V32+J32+M32</f>
        <v>33634452.74991633</v>
      </c>
      <c r="Z32" s="63">
        <f t="shared" si="14"/>
        <v>14</v>
      </c>
      <c r="AA32" s="297">
        <f>F32+I32+L32+O32+R32+U32+X32</f>
        <v>19041257.512482949</v>
      </c>
      <c r="AB32" s="63"/>
      <c r="AC32" s="142"/>
      <c r="AD32" s="111"/>
      <c r="AE32" s="73"/>
      <c r="AF32" s="49"/>
      <c r="AO32" s="216">
        <v>500000</v>
      </c>
    </row>
    <row r="33" spans="1:41" s="50" customFormat="1" x14ac:dyDescent="0.25">
      <c r="A33" s="49">
        <f t="shared" si="7"/>
        <v>18</v>
      </c>
      <c r="B33" s="49">
        <f t="shared" si="2"/>
        <v>2032</v>
      </c>
      <c r="C33" s="49">
        <f t="shared" si="0"/>
        <v>2035</v>
      </c>
      <c r="D33" s="54"/>
      <c r="E33" s="63"/>
      <c r="F33" s="56"/>
      <c r="G33" s="54">
        <f>G32*1.07-I32*1.07^0.5</f>
        <v>-25845620.484515626</v>
      </c>
      <c r="H33" s="63">
        <f>H32-1</f>
        <v>12</v>
      </c>
      <c r="I33" s="55">
        <f>I$15*MIN(H$5,H$15+1-H33)*(1+H$3)^(H$15-H33)*IF(H33&lt;H$5,H33/H$5,1)</f>
        <v>-3164485.6320000598</v>
      </c>
      <c r="J33" s="56">
        <f t="shared" si="9"/>
        <v>11144837.640329052</v>
      </c>
      <c r="K33" s="63">
        <f t="shared" si="10"/>
        <v>13</v>
      </c>
      <c r="L33" s="56">
        <f t="shared" si="11"/>
        <v>1262325.6691642243</v>
      </c>
      <c r="M33" s="54">
        <f t="shared" si="15"/>
        <v>20489832.153989021</v>
      </c>
      <c r="N33" s="63">
        <f t="shared" si="16"/>
        <v>14</v>
      </c>
      <c r="O33" s="55">
        <f t="shared" si="12"/>
        <v>2164685.5083805081</v>
      </c>
      <c r="P33" s="54">
        <f t="shared" si="17"/>
        <v>1586525.9704851098</v>
      </c>
      <c r="Q33" s="63">
        <f t="shared" si="18"/>
        <v>4</v>
      </c>
      <c r="R33" s="56">
        <f t="shared" si="13"/>
        <v>681448.18594067241</v>
      </c>
      <c r="S33" s="54">
        <f t="shared" si="22"/>
        <v>2390373.4499355149</v>
      </c>
      <c r="T33" s="63">
        <f t="shared" si="23"/>
        <v>5</v>
      </c>
      <c r="U33" s="56">
        <f t="shared" si="19"/>
        <v>866189.20102826075</v>
      </c>
      <c r="V33" s="54">
        <f t="shared" si="25"/>
        <v>6526485.7871310227</v>
      </c>
      <c r="W33" s="63">
        <f t="shared" si="26"/>
        <v>6</v>
      </c>
      <c r="X33" s="56">
        <f t="shared" si="24"/>
        <v>1801296.4563448238</v>
      </c>
      <c r="Y33" s="54">
        <f>D33+G33+P33+S33+V33+J33+M33</f>
        <v>16292434.517354093</v>
      </c>
      <c r="Z33" s="63">
        <f t="shared" si="14"/>
        <v>13</v>
      </c>
      <c r="AA33" s="297">
        <f>F33+I33+L33+O33+R33+U33+X33</f>
        <v>3611459.3888584296</v>
      </c>
      <c r="AB33" s="63"/>
      <c r="AC33" s="142"/>
      <c r="AD33" s="111"/>
      <c r="AE33" s="73"/>
      <c r="AF33" s="49"/>
      <c r="AO33" s="216">
        <v>500000</v>
      </c>
    </row>
    <row r="34" spans="1:41" s="50" customFormat="1" x14ac:dyDescent="0.25">
      <c r="A34" s="49">
        <f t="shared" si="7"/>
        <v>19</v>
      </c>
      <c r="B34" s="49">
        <f t="shared" si="2"/>
        <v>2033</v>
      </c>
      <c r="C34" s="49">
        <f t="shared" si="0"/>
        <v>2036</v>
      </c>
      <c r="D34" s="54"/>
      <c r="E34" s="63"/>
      <c r="F34" s="56"/>
      <c r="G34" s="54">
        <f t="shared" ref="G34:G44" si="27">G33*1.07-I33*1.07^0.5</f>
        <v>-24381444.527850471</v>
      </c>
      <c r="H34" s="63">
        <f t="shared" ref="H34:H44" si="28">H33-1</f>
        <v>11</v>
      </c>
      <c r="I34" s="55">
        <f t="shared" ref="I34:I44" si="29">I$15*MIN(H$5,H$15+1-H34)*(1+H$3)^(H$15-H34)*IF(H34&lt;H$5,H34/H$5,1)</f>
        <v>-3259420.2009600615</v>
      </c>
      <c r="J34" s="56">
        <f t="shared" si="9"/>
        <v>10619216.449731242</v>
      </c>
      <c r="K34" s="63">
        <f t="shared" si="10"/>
        <v>12</v>
      </c>
      <c r="L34" s="56">
        <f t="shared" si="11"/>
        <v>1300195.4392391508</v>
      </c>
      <c r="M34" s="54">
        <f t="shared" si="15"/>
        <v>19684952.303730268</v>
      </c>
      <c r="N34" s="63">
        <f t="shared" si="16"/>
        <v>13</v>
      </c>
      <c r="O34" s="55">
        <f t="shared" si="12"/>
        <v>2229626.0736319232</v>
      </c>
      <c r="P34" s="54">
        <f t="shared" si="17"/>
        <v>992687.30380424787</v>
      </c>
      <c r="Q34" s="63">
        <f t="shared" si="18"/>
        <v>3</v>
      </c>
      <c r="R34" s="56">
        <f t="shared" si="13"/>
        <v>526418.72363916936</v>
      </c>
      <c r="S34" s="54">
        <f t="shared" si="22"/>
        <v>1661706.5148860789</v>
      </c>
      <c r="T34" s="63">
        <f t="shared" si="23"/>
        <v>4</v>
      </c>
      <c r="U34" s="56">
        <f t="shared" si="19"/>
        <v>713739.90164728684</v>
      </c>
      <c r="V34" s="54">
        <f t="shared" si="25"/>
        <v>5120064.2494574003</v>
      </c>
      <c r="W34" s="63">
        <f t="shared" si="26"/>
        <v>5</v>
      </c>
      <c r="X34" s="56">
        <f t="shared" si="24"/>
        <v>1855335.3500351687</v>
      </c>
      <c r="Y34" s="54">
        <f t="shared" si="5"/>
        <v>13697182.293758765</v>
      </c>
      <c r="Z34" s="63">
        <f t="shared" si="14"/>
        <v>12</v>
      </c>
      <c r="AA34" s="297">
        <f t="shared" si="6"/>
        <v>3365895.2872326374</v>
      </c>
      <c r="AB34" s="63"/>
      <c r="AC34" s="142"/>
      <c r="AD34" s="111"/>
      <c r="AE34" s="73"/>
      <c r="AF34" s="49"/>
      <c r="AO34" s="216">
        <v>500000</v>
      </c>
    </row>
    <row r="35" spans="1:41" s="50" customFormat="1" x14ac:dyDescent="0.25">
      <c r="A35" s="49">
        <f t="shared" si="7"/>
        <v>20</v>
      </c>
      <c r="B35" s="49">
        <f t="shared" si="2"/>
        <v>2034</v>
      </c>
      <c r="C35" s="49">
        <f t="shared" si="0"/>
        <v>2037</v>
      </c>
      <c r="D35" s="54"/>
      <c r="E35" s="63"/>
      <c r="F35" s="56"/>
      <c r="G35" s="54">
        <f t="shared" si="27"/>
        <v>-22716575.172501322</v>
      </c>
      <c r="H35" s="63">
        <f t="shared" si="28"/>
        <v>10</v>
      </c>
      <c r="I35" s="55">
        <f t="shared" si="29"/>
        <v>-3357202.8069888633</v>
      </c>
      <c r="J35" s="56">
        <f t="shared" si="9"/>
        <v>10017628.981028961</v>
      </c>
      <c r="K35" s="63">
        <f t="shared" si="10"/>
        <v>11</v>
      </c>
      <c r="L35" s="56">
        <f t="shared" si="11"/>
        <v>1339201.3024163255</v>
      </c>
      <c r="M35" s="54">
        <f t="shared" si="15"/>
        <v>18756555.820922263</v>
      </c>
      <c r="N35" s="63">
        <f t="shared" si="16"/>
        <v>12</v>
      </c>
      <c r="O35" s="55">
        <f t="shared" si="12"/>
        <v>2296514.8558408809</v>
      </c>
      <c r="P35" s="54">
        <f t="shared" si="17"/>
        <v>517643.65320559719</v>
      </c>
      <c r="Q35" s="63">
        <f t="shared" si="18"/>
        <v>2</v>
      </c>
      <c r="R35" s="56">
        <f t="shared" si="13"/>
        <v>361474.19023222965</v>
      </c>
      <c r="S35" s="54">
        <f t="shared" si="22"/>
        <v>1039727.6758550886</v>
      </c>
      <c r="T35" s="63">
        <f t="shared" si="23"/>
        <v>3</v>
      </c>
      <c r="U35" s="56">
        <f t="shared" si="19"/>
        <v>551364.07402252895</v>
      </c>
      <c r="V35" s="54">
        <f t="shared" si="25"/>
        <v>3559294.9378634412</v>
      </c>
      <c r="W35" s="63">
        <f t="shared" si="26"/>
        <v>4</v>
      </c>
      <c r="X35" s="56">
        <f t="shared" si="24"/>
        <v>1528796.3284289788</v>
      </c>
      <c r="Y35" s="54">
        <f t="shared" si="5"/>
        <v>11174275.896374026</v>
      </c>
      <c r="Z35" s="63">
        <f t="shared" si="14"/>
        <v>11</v>
      </c>
      <c r="AA35" s="297">
        <f t="shared" si="6"/>
        <v>2720147.9439520808</v>
      </c>
      <c r="AB35" s="63"/>
      <c r="AC35" s="142"/>
      <c r="AD35" s="111"/>
      <c r="AE35" s="73"/>
      <c r="AF35" s="49"/>
      <c r="AO35" s="216">
        <v>500000</v>
      </c>
    </row>
    <row r="36" spans="1:41" s="50" customFormat="1" x14ac:dyDescent="0.25">
      <c r="A36" s="49">
        <f t="shared" si="7"/>
        <v>21</v>
      </c>
      <c r="B36" s="49">
        <f t="shared" si="2"/>
        <v>2035</v>
      </c>
      <c r="C36" s="49">
        <f t="shared" si="0"/>
        <v>2038</v>
      </c>
      <c r="D36" s="54"/>
      <c r="E36" s="63"/>
      <c r="F36" s="56"/>
      <c r="G36" s="54">
        <f t="shared" si="27"/>
        <v>-20834017.848108768</v>
      </c>
      <c r="H36" s="63">
        <f t="shared" si="28"/>
        <v>9</v>
      </c>
      <c r="I36" s="55">
        <f t="shared" si="29"/>
        <v>-3457918.8911985289</v>
      </c>
      <c r="J36" s="56">
        <f t="shared" si="9"/>
        <v>9333582.4109120164</v>
      </c>
      <c r="K36" s="63">
        <f t="shared" si="10"/>
        <v>10</v>
      </c>
      <c r="L36" s="56">
        <f t="shared" si="11"/>
        <v>1379377.3414888151</v>
      </c>
      <c r="M36" s="54">
        <f t="shared" si="15"/>
        <v>17693981.289995626</v>
      </c>
      <c r="N36" s="63">
        <f t="shared" si="16"/>
        <v>11</v>
      </c>
      <c r="O36" s="55">
        <f t="shared" si="12"/>
        <v>2365410.3015161073</v>
      </c>
      <c r="P36" s="54">
        <f t="shared" si="17"/>
        <v>179966.8991160579</v>
      </c>
      <c r="Q36" s="63">
        <f t="shared" si="18"/>
        <v>1</v>
      </c>
      <c r="R36" s="56">
        <f t="shared" si="13"/>
        <v>186159.20796959827</v>
      </c>
      <c r="S36" s="54">
        <f t="shared" si="22"/>
        <v>542173.18022104003</v>
      </c>
      <c r="T36" s="63">
        <f t="shared" si="23"/>
        <v>2</v>
      </c>
      <c r="U36" s="56">
        <f t="shared" si="19"/>
        <v>378603.3308288033</v>
      </c>
      <c r="V36" s="54">
        <f t="shared" si="25"/>
        <v>2227046.364851757</v>
      </c>
      <c r="W36" s="63">
        <f t="shared" si="26"/>
        <v>3</v>
      </c>
      <c r="X36" s="56">
        <f t="shared" si="24"/>
        <v>1180995.163711386</v>
      </c>
      <c r="Y36" s="54">
        <f t="shared" si="5"/>
        <v>9142732.2969877291</v>
      </c>
      <c r="Z36" s="63">
        <f t="shared" si="14"/>
        <v>10</v>
      </c>
      <c r="AA36" s="297">
        <f t="shared" si="6"/>
        <v>2032626.4543161811</v>
      </c>
      <c r="AB36" s="63"/>
      <c r="AC36" s="142"/>
      <c r="AD36" s="111"/>
      <c r="AE36" s="73"/>
      <c r="AF36" s="49"/>
      <c r="AO36" s="216">
        <v>500000</v>
      </c>
    </row>
    <row r="37" spans="1:41" s="50" customFormat="1" x14ac:dyDescent="0.25">
      <c r="A37" s="49">
        <f t="shared" si="7"/>
        <v>22</v>
      </c>
      <c r="B37" s="49">
        <f t="shared" si="2"/>
        <v>2036</v>
      </c>
      <c r="C37" s="49">
        <f t="shared" si="0"/>
        <v>2039</v>
      </c>
      <c r="D37" s="54"/>
      <c r="E37" s="63"/>
      <c r="F37" s="56"/>
      <c r="G37" s="54">
        <f t="shared" si="27"/>
        <v>-18715499.983414706</v>
      </c>
      <c r="H37" s="63">
        <f t="shared" si="28"/>
        <v>8</v>
      </c>
      <c r="I37" s="55">
        <f t="shared" si="29"/>
        <v>-3561656.4579344848</v>
      </c>
      <c r="J37" s="56">
        <f t="shared" si="9"/>
        <v>8560094.1629232168</v>
      </c>
      <c r="K37" s="63">
        <f t="shared" si="10"/>
        <v>9</v>
      </c>
      <c r="L37" s="56">
        <f t="shared" si="11"/>
        <v>1420758.6617334795</v>
      </c>
      <c r="M37" s="54">
        <f t="shared" si="15"/>
        <v>16485760.538752384</v>
      </c>
      <c r="N37" s="63">
        <f t="shared" si="16"/>
        <v>10</v>
      </c>
      <c r="O37" s="55">
        <f t="shared" si="12"/>
        <v>2436372.6105615906</v>
      </c>
      <c r="P37" s="22"/>
      <c r="Q37" s="52"/>
      <c r="R37" s="52"/>
      <c r="S37" s="22"/>
      <c r="T37" s="52"/>
      <c r="U37" s="52"/>
      <c r="V37" s="54">
        <f t="shared" si="25"/>
        <v>1161308.7139748884</v>
      </c>
      <c r="W37" s="63">
        <f t="shared" si="26"/>
        <v>2</v>
      </c>
      <c r="X37" s="56">
        <f t="shared" si="24"/>
        <v>810950.01241515181</v>
      </c>
      <c r="Y37" s="54">
        <f t="shared" si="5"/>
        <v>7491663.4322357848</v>
      </c>
      <c r="Z37" s="63">
        <f t="shared" si="14"/>
        <v>9</v>
      </c>
      <c r="AA37" s="297">
        <f t="shared" si="6"/>
        <v>1106424.8267757369</v>
      </c>
      <c r="AB37" s="63"/>
      <c r="AC37" s="142"/>
      <c r="AD37" s="111"/>
      <c r="AE37" s="73"/>
      <c r="AF37" s="49"/>
      <c r="AO37" s="216">
        <v>500000</v>
      </c>
    </row>
    <row r="38" spans="1:41" s="50" customFormat="1" x14ac:dyDescent="0.25">
      <c r="A38" s="49">
        <f t="shared" si="7"/>
        <v>23</v>
      </c>
      <c r="B38" s="49">
        <f t="shared" si="2"/>
        <v>2037</v>
      </c>
      <c r="C38" s="49">
        <f t="shared" si="0"/>
        <v>2040</v>
      </c>
      <c r="D38" s="54"/>
      <c r="E38" s="63"/>
      <c r="F38" s="56"/>
      <c r="G38" s="54">
        <f t="shared" si="27"/>
        <v>-16341378.894770212</v>
      </c>
      <c r="H38" s="63">
        <f t="shared" si="28"/>
        <v>7</v>
      </c>
      <c r="I38" s="55">
        <f t="shared" si="29"/>
        <v>-3668506.1516725197</v>
      </c>
      <c r="J38" s="56">
        <f t="shared" si="9"/>
        <v>7689656.5670726225</v>
      </c>
      <c r="K38" s="63">
        <f t="shared" si="10"/>
        <v>8</v>
      </c>
      <c r="L38" s="56">
        <f t="shared" si="11"/>
        <v>1463381.4215854839</v>
      </c>
      <c r="M38" s="54">
        <f t="shared" si="15"/>
        <v>15119560.351675827</v>
      </c>
      <c r="N38" s="63">
        <f t="shared" si="16"/>
        <v>9</v>
      </c>
      <c r="O38" s="55">
        <f t="shared" si="12"/>
        <v>2509463.7888784376</v>
      </c>
      <c r="P38" s="22"/>
      <c r="Q38" s="52"/>
      <c r="R38" s="52"/>
      <c r="S38" s="22"/>
      <c r="T38" s="52"/>
      <c r="U38" s="52"/>
      <c r="V38" s="54">
        <f t="shared" si="25"/>
        <v>403747.1084138063</v>
      </c>
      <c r="W38" s="63">
        <f t="shared" si="26"/>
        <v>1</v>
      </c>
      <c r="X38" s="56">
        <f t="shared" si="24"/>
        <v>417639.25639380317</v>
      </c>
      <c r="Y38" s="54">
        <f t="shared" si="5"/>
        <v>6871585.1323920432</v>
      </c>
      <c r="Z38" s="63">
        <f t="shared" si="14"/>
        <v>8</v>
      </c>
      <c r="AA38" s="297">
        <f t="shared" si="6"/>
        <v>721978.31518520496</v>
      </c>
      <c r="AB38" s="63"/>
      <c r="AC38" s="142"/>
      <c r="AD38" s="111"/>
      <c r="AE38" s="73"/>
      <c r="AF38" s="49"/>
      <c r="AO38" s="216">
        <v>500000</v>
      </c>
    </row>
    <row r="39" spans="1:41" s="50" customFormat="1" x14ac:dyDescent="0.25">
      <c r="A39" s="49">
        <f t="shared" si="7"/>
        <v>24</v>
      </c>
      <c r="B39" s="49">
        <f t="shared" si="2"/>
        <v>2038</v>
      </c>
      <c r="C39" s="49">
        <f t="shared" si="0"/>
        <v>2041</v>
      </c>
      <c r="D39" s="54"/>
      <c r="E39" s="63"/>
      <c r="F39" s="56"/>
      <c r="G39" s="54">
        <f t="shared" si="27"/>
        <v>-13690543.147296097</v>
      </c>
      <c r="H39" s="63">
        <f t="shared" si="28"/>
        <v>6</v>
      </c>
      <c r="I39" s="55">
        <f t="shared" si="29"/>
        <v>-3778561.3362226947</v>
      </c>
      <c r="J39" s="56">
        <f t="shared" si="9"/>
        <v>6714199.0138948299</v>
      </c>
      <c r="K39" s="63">
        <f t="shared" si="10"/>
        <v>7</v>
      </c>
      <c r="L39" s="56">
        <f t="shared" si="11"/>
        <v>1507282.8642330486</v>
      </c>
      <c r="M39" s="54">
        <f t="shared" si="15"/>
        <v>13582120.048760235</v>
      </c>
      <c r="N39" s="63">
        <f t="shared" si="16"/>
        <v>8</v>
      </c>
      <c r="O39" s="55">
        <f t="shared" si="12"/>
        <v>2584747.7025447912</v>
      </c>
      <c r="P39" s="22"/>
      <c r="Q39" s="52"/>
      <c r="R39" s="52"/>
      <c r="S39" s="22"/>
      <c r="T39" s="52"/>
      <c r="U39" s="52"/>
      <c r="V39" s="22"/>
      <c r="W39" s="52"/>
      <c r="X39" s="52"/>
      <c r="Y39" s="54">
        <f t="shared" si="5"/>
        <v>6605775.9153589681</v>
      </c>
      <c r="Z39" s="63">
        <f t="shared" si="14"/>
        <v>7</v>
      </c>
      <c r="AA39" s="297">
        <f t="shared" si="6"/>
        <v>313469.23055514507</v>
      </c>
      <c r="AB39" s="63"/>
      <c r="AC39" s="142"/>
      <c r="AD39" s="111"/>
      <c r="AE39" s="73"/>
      <c r="AF39" s="49"/>
      <c r="AO39" s="216">
        <v>500000</v>
      </c>
    </row>
    <row r="40" spans="1:41" s="50" customFormat="1" x14ac:dyDescent="0.25">
      <c r="A40" s="49">
        <f t="shared" si="7"/>
        <v>25</v>
      </c>
      <c r="B40" s="49">
        <f t="shared" si="2"/>
        <v>2039</v>
      </c>
      <c r="C40" s="49">
        <f t="shared" si="0"/>
        <v>2042</v>
      </c>
      <c r="D40" s="54"/>
      <c r="E40" s="63"/>
      <c r="F40" s="56"/>
      <c r="G40" s="54">
        <f t="shared" si="27"/>
        <v>-10740306.929395553</v>
      </c>
      <c r="H40" s="63">
        <f t="shared" si="28"/>
        <v>5</v>
      </c>
      <c r="I40" s="55">
        <f t="shared" si="29"/>
        <v>-3891918.1763093756</v>
      </c>
      <c r="J40" s="56">
        <f t="shared" si="9"/>
        <v>5625047.4266084051</v>
      </c>
      <c r="K40" s="63">
        <f t="shared" si="10"/>
        <v>6</v>
      </c>
      <c r="L40" s="56">
        <f t="shared" si="11"/>
        <v>1552501.3501600397</v>
      </c>
      <c r="M40" s="54">
        <f t="shared" si="15"/>
        <v>11859184.638814567</v>
      </c>
      <c r="N40" s="63">
        <f t="shared" si="16"/>
        <v>7</v>
      </c>
      <c r="O40" s="55">
        <f t="shared" si="12"/>
        <v>2662290.1336211353</v>
      </c>
      <c r="P40" s="22"/>
      <c r="Q40" s="52"/>
      <c r="R40" s="52"/>
      <c r="S40" s="22"/>
      <c r="T40" s="52"/>
      <c r="U40" s="52"/>
      <c r="V40" s="22"/>
      <c r="W40" s="52"/>
      <c r="X40" s="52"/>
      <c r="Y40" s="54">
        <f t="shared" si="5"/>
        <v>6743925.136027419</v>
      </c>
      <c r="Z40" s="63">
        <f t="shared" si="14"/>
        <v>6</v>
      </c>
      <c r="AA40" s="297">
        <f t="shared" si="6"/>
        <v>322873.3074717992</v>
      </c>
      <c r="AB40" s="63"/>
      <c r="AC40" s="142"/>
      <c r="AD40" s="111"/>
      <c r="AE40" s="73"/>
      <c r="AF40" s="49"/>
      <c r="AO40" s="216">
        <v>500000</v>
      </c>
    </row>
    <row r="41" spans="1:41" s="50" customFormat="1" x14ac:dyDescent="0.25">
      <c r="A41" s="49">
        <f t="shared" si="7"/>
        <v>26</v>
      </c>
      <c r="B41" s="49">
        <f t="shared" si="2"/>
        <v>2040</v>
      </c>
      <c r="C41" s="49">
        <f t="shared" si="0"/>
        <v>2043</v>
      </c>
      <c r="D41" s="54"/>
      <c r="E41" s="63"/>
      <c r="F41" s="56"/>
      <c r="G41" s="54">
        <f t="shared" si="27"/>
        <v>-7466296.949095631</v>
      </c>
      <c r="H41" s="63">
        <f t="shared" si="28"/>
        <v>4</v>
      </c>
      <c r="I41" s="55">
        <f t="shared" si="29"/>
        <v>-3206940.577278926</v>
      </c>
      <c r="J41" s="56">
        <f t="shared" si="9"/>
        <v>4412880.8626641585</v>
      </c>
      <c r="K41" s="65">
        <f t="shared" si="10"/>
        <v>5</v>
      </c>
      <c r="L41" s="56">
        <f t="shared" si="11"/>
        <v>1599076.390664841</v>
      </c>
      <c r="M41" s="54">
        <f t="shared" si="15"/>
        <v>9935433.2357719336</v>
      </c>
      <c r="N41" s="63">
        <f t="shared" si="16"/>
        <v>6</v>
      </c>
      <c r="O41" s="55">
        <f t="shared" si="12"/>
        <v>2742158.8376297685</v>
      </c>
      <c r="P41" s="22"/>
      <c r="Q41" s="52"/>
      <c r="R41" s="52"/>
      <c r="S41" s="22"/>
      <c r="T41" s="52"/>
      <c r="U41" s="52"/>
      <c r="V41" s="22"/>
      <c r="W41" s="52"/>
      <c r="X41" s="52"/>
      <c r="Y41" s="54">
        <f t="shared" si="5"/>
        <v>6882017.149340461</v>
      </c>
      <c r="Z41" s="63">
        <f t="shared" si="14"/>
        <v>5</v>
      </c>
      <c r="AA41" s="297">
        <f t="shared" si="6"/>
        <v>1134294.6510156835</v>
      </c>
      <c r="AB41" s="63"/>
      <c r="AC41" s="142"/>
      <c r="AD41" s="111"/>
      <c r="AE41" s="73"/>
      <c r="AF41" s="49"/>
      <c r="AO41" s="216">
        <v>500000</v>
      </c>
    </row>
    <row r="42" spans="1:41" s="50" customFormat="1" x14ac:dyDescent="0.25">
      <c r="A42" s="49">
        <f t="shared" si="7"/>
        <v>27</v>
      </c>
      <c r="B42" s="49">
        <f t="shared" si="2"/>
        <v>2041</v>
      </c>
      <c r="C42" s="49">
        <f t="shared" si="0"/>
        <v>2044</v>
      </c>
      <c r="D42" s="54"/>
      <c r="E42" s="63"/>
      <c r="F42" s="56"/>
      <c r="G42" s="54">
        <f t="shared" si="27"/>
        <v>-4671652.6080776546</v>
      </c>
      <c r="H42" s="63">
        <f t="shared" si="28"/>
        <v>3</v>
      </c>
      <c r="I42" s="55">
        <f t="shared" si="29"/>
        <v>-2477361.5959479702</v>
      </c>
      <c r="J42" s="56">
        <f t="shared" si="9"/>
        <v>3067685.0427296096</v>
      </c>
      <c r="K42" s="63">
        <f t="shared" si="10"/>
        <v>4</v>
      </c>
      <c r="L42" s="56">
        <f t="shared" si="11"/>
        <v>1317638.9459078293</v>
      </c>
      <c r="M42" s="54">
        <f t="shared" si="15"/>
        <v>7794402.4046835285</v>
      </c>
      <c r="N42" s="65">
        <f t="shared" si="16"/>
        <v>5</v>
      </c>
      <c r="O42" s="55">
        <f t="shared" si="12"/>
        <v>2824423.6027586618</v>
      </c>
      <c r="P42" s="22"/>
      <c r="Q42" s="52"/>
      <c r="R42" s="52"/>
      <c r="S42" s="22"/>
      <c r="T42" s="52"/>
      <c r="U42" s="52"/>
      <c r="V42" s="22"/>
      <c r="W42" s="52"/>
      <c r="X42" s="52"/>
      <c r="Y42" s="54">
        <f t="shared" si="5"/>
        <v>6190434.8393354835</v>
      </c>
      <c r="Z42" s="63">
        <f t="shared" si="14"/>
        <v>4</v>
      </c>
      <c r="AA42" s="297">
        <f t="shared" si="6"/>
        <v>1664700.952718521</v>
      </c>
      <c r="AB42" s="63"/>
      <c r="AC42" s="142"/>
      <c r="AD42" s="111"/>
      <c r="AE42" s="73"/>
      <c r="AF42" s="49"/>
      <c r="AO42" s="216">
        <v>500000</v>
      </c>
    </row>
    <row r="43" spans="1:41" s="50" customFormat="1" x14ac:dyDescent="0.25">
      <c r="A43" s="49">
        <f t="shared" si="7"/>
        <v>28</v>
      </c>
      <c r="B43" s="49">
        <f t="shared" si="2"/>
        <v>2042</v>
      </c>
      <c r="C43" s="49">
        <f t="shared" si="0"/>
        <v>2045</v>
      </c>
      <c r="D43" s="54"/>
      <c r="E43" s="63"/>
      <c r="F43" s="56"/>
      <c r="G43" s="54">
        <f t="shared" si="27"/>
        <v>-2436065.5296843569</v>
      </c>
      <c r="H43" s="63">
        <f t="shared" si="28"/>
        <v>2</v>
      </c>
      <c r="I43" s="55">
        <f t="shared" si="29"/>
        <v>-1701121.629217606</v>
      </c>
      <c r="J43" s="56">
        <f t="shared" si="9"/>
        <v>1919446.6719361453</v>
      </c>
      <c r="K43" s="63">
        <f t="shared" si="10"/>
        <v>3</v>
      </c>
      <c r="L43" s="56">
        <f t="shared" si="11"/>
        <v>1017876.0857137979</v>
      </c>
      <c r="M43" s="54">
        <f t="shared" si="15"/>
        <v>5418404.0806911606</v>
      </c>
      <c r="N43" s="63">
        <f t="shared" si="16"/>
        <v>4</v>
      </c>
      <c r="O43" s="55">
        <f t="shared" si="12"/>
        <v>2327325.0486731376</v>
      </c>
      <c r="P43" s="22"/>
      <c r="Q43" s="52"/>
      <c r="R43" s="52"/>
      <c r="S43" s="22"/>
      <c r="T43" s="52"/>
      <c r="U43" s="52"/>
      <c r="V43" s="22"/>
      <c r="W43" s="52"/>
      <c r="X43" s="52"/>
      <c r="Y43" s="54">
        <f t="shared" si="5"/>
        <v>4901785.2229429493</v>
      </c>
      <c r="Z43" s="63">
        <f t="shared" si="14"/>
        <v>3</v>
      </c>
      <c r="AA43" s="297">
        <f t="shared" si="6"/>
        <v>1644079.5051693295</v>
      </c>
      <c r="AB43" s="63"/>
      <c r="AC43" s="142"/>
      <c r="AD43" s="111"/>
      <c r="AE43" s="73"/>
      <c r="AF43" s="49"/>
      <c r="AO43" s="216">
        <v>500000</v>
      </c>
    </row>
    <row r="44" spans="1:41" x14ac:dyDescent="0.25">
      <c r="A44" s="49">
        <f t="shared" si="7"/>
        <v>29</v>
      </c>
      <c r="B44" s="49">
        <f t="shared" si="2"/>
        <v>2043</v>
      </c>
      <c r="C44" s="49">
        <f t="shared" si="0"/>
        <v>2046</v>
      </c>
      <c r="D44" s="54"/>
      <c r="E44" s="63"/>
      <c r="F44" s="56"/>
      <c r="G44" s="54">
        <f t="shared" si="27"/>
        <v>-846936.22090393142</v>
      </c>
      <c r="H44" s="63">
        <f t="shared" si="28"/>
        <v>1</v>
      </c>
      <c r="I44" s="55">
        <f t="shared" si="29"/>
        <v>-876077.63904706715</v>
      </c>
      <c r="J44" s="56">
        <f t="shared" si="9"/>
        <v>1000908.7288481204</v>
      </c>
      <c r="K44" s="63">
        <f t="shared" si="10"/>
        <v>2</v>
      </c>
      <c r="L44" s="56">
        <f t="shared" si="11"/>
        <v>698941.5788568079</v>
      </c>
      <c r="M44" s="54">
        <f t="shared" si="15"/>
        <v>3390288.6166676842</v>
      </c>
      <c r="N44" s="63">
        <f t="shared" si="16"/>
        <v>3</v>
      </c>
      <c r="O44" s="55">
        <f t="shared" si="12"/>
        <v>1797858.6000999985</v>
      </c>
      <c r="P44" s="22"/>
      <c r="Q44" s="52"/>
      <c r="R44" s="52"/>
      <c r="S44" s="22"/>
      <c r="T44" s="52"/>
      <c r="U44" s="52"/>
      <c r="V44" s="22"/>
      <c r="W44" s="52"/>
      <c r="X44" s="52"/>
      <c r="Y44" s="54">
        <f t="shared" si="5"/>
        <v>3544261.1246118732</v>
      </c>
      <c r="Z44" s="63">
        <f t="shared" si="14"/>
        <v>2</v>
      </c>
      <c r="AA44" s="297">
        <f t="shared" si="6"/>
        <v>1620722.5399097393</v>
      </c>
      <c r="AB44" s="63"/>
      <c r="AC44" s="142"/>
      <c r="AD44" s="111"/>
      <c r="AO44" s="216">
        <v>500000</v>
      </c>
    </row>
    <row r="45" spans="1:41" x14ac:dyDescent="0.25">
      <c r="A45" s="49">
        <f t="shared" si="7"/>
        <v>30</v>
      </c>
      <c r="B45" s="49">
        <f t="shared" si="2"/>
        <v>2044</v>
      </c>
      <c r="C45" s="49">
        <f t="shared" si="0"/>
        <v>2047</v>
      </c>
      <c r="D45" s="54"/>
      <c r="E45" s="63"/>
      <c r="F45" s="56"/>
      <c r="G45" s="361"/>
      <c r="H45" s="63"/>
      <c r="I45" s="55"/>
      <c r="J45" s="56">
        <f t="shared" si="9"/>
        <v>347981.5489159812</v>
      </c>
      <c r="K45" s="63">
        <f t="shared" si="10"/>
        <v>1</v>
      </c>
      <c r="L45" s="56">
        <f t="shared" si="11"/>
        <v>359954.91311125603</v>
      </c>
      <c r="M45" s="54">
        <f t="shared" si="15"/>
        <v>1767889.4232129124</v>
      </c>
      <c r="N45" s="63">
        <f t="shared" si="16"/>
        <v>2</v>
      </c>
      <c r="O45" s="55">
        <f t="shared" si="12"/>
        <v>1234529.5720686659</v>
      </c>
      <c r="P45" s="22"/>
      <c r="Q45" s="52"/>
      <c r="R45" s="52"/>
      <c r="S45" s="22"/>
      <c r="T45" s="52"/>
      <c r="U45" s="52"/>
      <c r="V45" s="22"/>
      <c r="W45" s="52"/>
      <c r="X45" s="52"/>
      <c r="Y45" s="54">
        <f t="shared" si="5"/>
        <v>2115870.9721288937</v>
      </c>
      <c r="Z45" s="63">
        <f t="shared" si="14"/>
        <v>1</v>
      </c>
      <c r="AA45" s="297">
        <f t="shared" si="6"/>
        <v>1594484.4851799218</v>
      </c>
      <c r="AB45" s="63"/>
      <c r="AC45" s="142"/>
      <c r="AD45" s="111"/>
      <c r="AO45" s="216">
        <v>500000</v>
      </c>
    </row>
    <row r="46" spans="1:41" ht="15.75" thickBot="1" x14ac:dyDescent="0.3">
      <c r="C46" s="56"/>
      <c r="D46" s="57"/>
      <c r="E46" s="68"/>
      <c r="F46" s="59"/>
      <c r="G46" s="57"/>
      <c r="H46" s="68"/>
      <c r="I46" s="58"/>
      <c r="J46" s="59"/>
      <c r="K46" s="68"/>
      <c r="L46" s="59"/>
      <c r="M46" s="57">
        <f t="shared" si="15"/>
        <v>614634.3638243794</v>
      </c>
      <c r="N46" s="68">
        <f t="shared" si="16"/>
        <v>1</v>
      </c>
      <c r="O46" s="58">
        <f t="shared" si="12"/>
        <v>635782.72961536283</v>
      </c>
      <c r="P46" s="33"/>
      <c r="Q46" s="12"/>
      <c r="R46" s="12"/>
      <c r="S46" s="22"/>
      <c r="T46" s="52"/>
      <c r="U46" s="52"/>
      <c r="V46" s="22"/>
      <c r="W46" s="52"/>
      <c r="X46" s="52"/>
      <c r="Y46" s="54">
        <f t="shared" si="5"/>
        <v>614634.3638243794</v>
      </c>
      <c r="Z46" s="63">
        <f t="shared" si="14"/>
        <v>0</v>
      </c>
      <c r="AA46" s="297">
        <f t="shared" si="6"/>
        <v>635782.72961536283</v>
      </c>
      <c r="AB46" s="146"/>
      <c r="AC46" s="147"/>
      <c r="AD46" s="52"/>
    </row>
    <row r="47" spans="1:41" x14ac:dyDescent="0.25">
      <c r="C47" s="47"/>
      <c r="S47" s="33"/>
      <c r="T47" s="12"/>
      <c r="U47" s="12"/>
      <c r="V47" s="22"/>
      <c r="W47" s="52"/>
      <c r="X47" s="52"/>
      <c r="Y47" s="504"/>
      <c r="Z47" s="479"/>
      <c r="AA47" s="480"/>
      <c r="AB47" s="47"/>
    </row>
    <row r="48" spans="1:41" x14ac:dyDescent="0.25">
      <c r="B48" s="215">
        <v>0</v>
      </c>
      <c r="C48" s="52"/>
      <c r="D48" s="56"/>
      <c r="E48" s="49" t="s">
        <v>152</v>
      </c>
      <c r="V48" s="33"/>
      <c r="W48" s="12"/>
      <c r="X48" s="12"/>
      <c r="Y48" s="505"/>
      <c r="Z48" s="481"/>
      <c r="AA48" s="482"/>
      <c r="AB48" s="48"/>
      <c r="AC48" s="48"/>
      <c r="AD48" s="48"/>
    </row>
    <row r="49" spans="2:28" x14ac:dyDescent="0.25">
      <c r="B49" s="215">
        <v>-1</v>
      </c>
      <c r="C49" s="52"/>
      <c r="D49" s="274"/>
      <c r="E49" s="49" t="s">
        <v>153</v>
      </c>
      <c r="Y49" s="49" t="s">
        <v>81</v>
      </c>
      <c r="AA49" s="47">
        <f>SUM(AA16:AA48)</f>
        <v>268538214.89530611</v>
      </c>
      <c r="AB49" s="49"/>
    </row>
    <row r="50" spans="2:28" x14ac:dyDescent="0.25">
      <c r="B50" s="215">
        <v>1</v>
      </c>
      <c r="C50" s="52"/>
      <c r="D50" s="56"/>
      <c r="E50" s="49" t="s">
        <v>154</v>
      </c>
      <c r="Y50" s="49" t="s">
        <v>86</v>
      </c>
      <c r="AA50" s="48">
        <f>NPV(0.03,AA16:AA48)</f>
        <v>196185476.45691562</v>
      </c>
      <c r="AB50" s="49"/>
    </row>
    <row r="51" spans="2:28" x14ac:dyDescent="0.25">
      <c r="AB51" s="49"/>
    </row>
    <row r="52" spans="2:28" x14ac:dyDescent="0.25">
      <c r="AB52" s="49"/>
    </row>
    <row r="53" spans="2:28" x14ac:dyDescent="0.25">
      <c r="AB53" s="47"/>
    </row>
  </sheetData>
  <mergeCells count="10">
    <mergeCell ref="AF5:AK5"/>
    <mergeCell ref="D12:F12"/>
    <mergeCell ref="G12:I12"/>
    <mergeCell ref="M12:O12"/>
    <mergeCell ref="J12:L12"/>
    <mergeCell ref="Y11:AA11"/>
    <mergeCell ref="Y12:AA12"/>
    <mergeCell ref="P12:R12"/>
    <mergeCell ref="S12:U12"/>
    <mergeCell ref="V12:X12"/>
  </mergeCells>
  <conditionalFormatting sqref="AC14:AD45">
    <cfRule type="iconSet" priority="96">
      <iconSet>
        <cfvo type="percent" val="0"/>
        <cfvo type="num" val="0.7"/>
        <cfvo type="num" val="0.8"/>
      </iconSet>
    </cfRule>
  </conditionalFormatting>
  <conditionalFormatting sqref="D48">
    <cfRule type="cellIs" dxfId="371" priority="58" operator="greaterThanOrEqual">
      <formula>B48</formula>
    </cfRule>
    <cfRule type="cellIs" dxfId="370" priority="59" operator="greaterThan">
      <formula>B49</formula>
    </cfRule>
    <cfRule type="cellIs" dxfId="369" priority="60" operator="lessThanOrEqual">
      <formula>51</formula>
    </cfRule>
  </conditionalFormatting>
  <conditionalFormatting sqref="J17:J45">
    <cfRule type="cellIs" dxfId="368" priority="49" operator="greaterThanOrEqual">
      <formula>J16</formula>
    </cfRule>
    <cfRule type="cellIs" dxfId="367" priority="50" operator="greaterThan">
      <formula>J$16</formula>
    </cfRule>
    <cfRule type="cellIs" dxfId="366" priority="51" operator="lessThanOrEqual">
      <formula>J$16</formula>
    </cfRule>
  </conditionalFormatting>
  <conditionalFormatting sqref="Y17:Y46">
    <cfRule type="cellIs" dxfId="365" priority="43" operator="greaterThanOrEqual">
      <formula>Y16</formula>
    </cfRule>
    <cfRule type="cellIs" dxfId="364" priority="44" operator="greaterThan">
      <formula>Y$16</formula>
    </cfRule>
    <cfRule type="cellIs" dxfId="363" priority="45" operator="lessThanOrEqual">
      <formula>Y$16</formula>
    </cfRule>
  </conditionalFormatting>
  <conditionalFormatting sqref="D50">
    <cfRule type="cellIs" dxfId="362" priority="100" operator="greaterThanOrEqual">
      <formula>B50</formula>
    </cfRule>
    <cfRule type="cellIs" dxfId="361" priority="101" operator="greaterThan">
      <formula>D48</formula>
    </cfRule>
    <cfRule type="cellIs" dxfId="360" priority="102" operator="lessThanOrEqual">
      <formula>51</formula>
    </cfRule>
  </conditionalFormatting>
  <conditionalFormatting sqref="V20:V38">
    <cfRule type="cellIs" dxfId="359" priority="123" operator="greaterThanOrEqual">
      <formula>V19</formula>
    </cfRule>
    <cfRule type="cellIs" dxfId="358" priority="124" operator="greaterThan">
      <formula>V$19</formula>
    </cfRule>
    <cfRule type="cellIs" dxfId="357" priority="125" operator="lessThanOrEqual">
      <formula>V$19</formula>
    </cfRule>
  </conditionalFormatting>
  <conditionalFormatting sqref="D17">
    <cfRule type="cellIs" dxfId="356" priority="22" operator="greaterThanOrEqual">
      <formula>D16</formula>
    </cfRule>
    <cfRule type="cellIs" dxfId="355" priority="23" operator="greaterThan">
      <formula>D$16</formula>
    </cfRule>
    <cfRule type="cellIs" dxfId="354" priority="24" operator="lessThanOrEqual">
      <formula>D$16</formula>
    </cfRule>
  </conditionalFormatting>
  <conditionalFormatting sqref="D18:D32">
    <cfRule type="cellIs" dxfId="353" priority="19" operator="greaterThanOrEqual">
      <formula>D17</formula>
    </cfRule>
    <cfRule type="cellIs" dxfId="352" priority="20" operator="greaterThan">
      <formula>D$16</formula>
    </cfRule>
    <cfRule type="cellIs" dxfId="351" priority="21" operator="lessThanOrEqual">
      <formula>D$16</formula>
    </cfRule>
  </conditionalFormatting>
  <conditionalFormatting sqref="G16:G44">
    <cfRule type="cellIs" dxfId="350" priority="16" operator="greaterThanOrEqual">
      <formula>G15</formula>
    </cfRule>
    <cfRule type="cellIs" dxfId="349" priority="17" operator="greaterThan">
      <formula>G$15</formula>
    </cfRule>
    <cfRule type="cellIs" dxfId="348" priority="18" operator="lessThanOrEqual">
      <formula>G$15</formula>
    </cfRule>
  </conditionalFormatting>
  <conditionalFormatting sqref="M18:M46">
    <cfRule type="cellIs" dxfId="347" priority="13" operator="greaterThanOrEqual">
      <formula>M17</formula>
    </cfRule>
    <cfRule type="cellIs" dxfId="346" priority="14" operator="greaterThan">
      <formula>M$16</formula>
    </cfRule>
    <cfRule type="cellIs" dxfId="345" priority="15" operator="lessThanOrEqual">
      <formula>M$16</formula>
    </cfRule>
  </conditionalFormatting>
  <conditionalFormatting sqref="P18:P36">
    <cfRule type="cellIs" dxfId="344" priority="10" operator="greaterThanOrEqual">
      <formula>P17</formula>
    </cfRule>
    <cfRule type="cellIs" dxfId="343" priority="11" operator="greaterThan">
      <formula>P$16</formula>
    </cfRule>
    <cfRule type="cellIs" dxfId="342" priority="12" operator="lessThanOrEqual">
      <formula>P$16</formula>
    </cfRule>
  </conditionalFormatting>
  <conditionalFormatting sqref="S20:S36">
    <cfRule type="cellIs" dxfId="341" priority="1" operator="greaterThanOrEqual">
      <formula>S19</formula>
    </cfRule>
    <cfRule type="cellIs" dxfId="340" priority="2" operator="greaterThan">
      <formula>S$16</formula>
    </cfRule>
    <cfRule type="cellIs" dxfId="339" priority="3" operator="lessThanOrEqual">
      <formula>S$16</formula>
    </cfRule>
  </conditionalFormatting>
  <conditionalFormatting sqref="S19">
    <cfRule type="cellIs" dxfId="338" priority="4" operator="greaterThanOrEqual">
      <formula>S18</formula>
    </cfRule>
    <cfRule type="cellIs" dxfId="337" priority="5" operator="greaterThan">
      <formula>S$16</formula>
    </cfRule>
    <cfRule type="cellIs" dxfId="336" priority="6" operator="lessThanOrEqual">
      <formula>S$16</formula>
    </cfRule>
  </conditionalFormatting>
  <pageMargins left="0.25" right="0.25" top="0.25" bottom="0.25" header="0.3" footer="0.3"/>
  <pageSetup scale="44" orientation="landscape" r:id="rId1"/>
  <headerFooter differentFirst="1">
    <oddFooter>&amp;R&amp;P</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AM51"/>
  <sheetViews>
    <sheetView showGridLines="0" zoomScaleNormal="100" workbookViewId="0">
      <selection activeCell="D3" sqref="D3"/>
    </sheetView>
  </sheetViews>
  <sheetFormatPr defaultColWidth="9.140625" defaultRowHeight="15" x14ac:dyDescent="0.25"/>
  <cols>
    <col min="1" max="1" width="3.5703125" style="49" customWidth="1"/>
    <col min="2" max="3" width="5" style="49" bestFit="1" customWidth="1"/>
    <col min="4" max="4" width="14.7109375" style="49" customWidth="1"/>
    <col min="5" max="5" width="6.28515625" style="49" customWidth="1"/>
    <col min="6" max="6" width="12.28515625" style="49" customWidth="1"/>
    <col min="7" max="7" width="13" style="49" customWidth="1"/>
    <col min="8" max="8" width="9.5703125" style="49" customWidth="1"/>
    <col min="9" max="9" width="11.85546875" style="49" customWidth="1"/>
    <col min="10" max="10" width="14.85546875" style="49" customWidth="1"/>
    <col min="11" max="11" width="9.140625" style="49" customWidth="1"/>
    <col min="12" max="12" width="11.85546875" style="49" customWidth="1"/>
    <col min="13" max="13" width="12.28515625" style="49" customWidth="1"/>
    <col min="14" max="14" width="9.140625" style="49" bestFit="1" customWidth="1"/>
    <col min="15" max="15" width="11.28515625" style="49" customWidth="1"/>
    <col min="16" max="16" width="12.28515625" style="49" customWidth="1"/>
    <col min="17" max="17" width="9.140625" style="49" bestFit="1" customWidth="1"/>
    <col min="18" max="18" width="11.28515625" style="49" customWidth="1"/>
    <col min="19" max="19" width="12.28515625" style="49" customWidth="1"/>
    <col min="20" max="20" width="9.140625" style="49" bestFit="1" customWidth="1"/>
    <col min="21" max="21" width="11.28515625" style="49" customWidth="1"/>
    <col min="22" max="22" width="12.28515625" style="49" customWidth="1"/>
    <col min="23" max="23" width="9.140625" style="49" customWidth="1"/>
    <col min="24" max="24" width="11.28515625" style="49" customWidth="1"/>
    <col min="25" max="25" width="15.140625" style="49" bestFit="1" customWidth="1"/>
    <col min="26" max="26" width="7" style="49" customWidth="1"/>
    <col min="27" max="27" width="15.5703125" style="49" bestFit="1" customWidth="1"/>
    <col min="28" max="28" width="4" style="49" customWidth="1"/>
    <col min="29" max="29" width="14.28515625" style="73" bestFit="1" customWidth="1"/>
    <col min="30" max="30" width="11.5703125" style="49" bestFit="1" customWidth="1"/>
    <col min="31" max="31" width="13.7109375" style="49" bestFit="1" customWidth="1"/>
    <col min="32" max="35" width="9.140625" style="49"/>
    <col min="36" max="36" width="4.85546875" style="49" customWidth="1"/>
    <col min="37" max="38" width="9.140625" style="49"/>
    <col min="39" max="39" width="12.5703125" style="215" bestFit="1" customWidth="1"/>
    <col min="40" max="16384" width="9.140625" style="49"/>
  </cols>
  <sheetData>
    <row r="1" spans="1:39" ht="11.25" customHeight="1" x14ac:dyDescent="0.25"/>
    <row r="2" spans="1:39" ht="26.25" x14ac:dyDescent="0.4">
      <c r="D2" s="214" t="s">
        <v>149</v>
      </c>
      <c r="M2" s="424"/>
      <c r="N2" s="425"/>
    </row>
    <row r="3" spans="1:39" ht="26.25" x14ac:dyDescent="0.4">
      <c r="D3" s="214" t="s">
        <v>255</v>
      </c>
      <c r="M3" s="424"/>
      <c r="N3" s="425"/>
      <c r="AC3" s="214" t="s">
        <v>256</v>
      </c>
    </row>
    <row r="4" spans="1:39" x14ac:dyDescent="0.25">
      <c r="M4" s="349"/>
      <c r="N4" s="426"/>
    </row>
    <row r="5" spans="1:39" x14ac:dyDescent="0.25">
      <c r="M5" s="349"/>
      <c r="N5" s="426"/>
      <c r="AD5" s="540"/>
      <c r="AE5" s="540"/>
      <c r="AF5" s="540"/>
      <c r="AG5" s="540"/>
      <c r="AH5" s="540"/>
      <c r="AI5" s="540"/>
    </row>
    <row r="6" spans="1:39" x14ac:dyDescent="0.25">
      <c r="M6" s="349"/>
      <c r="N6" s="427"/>
    </row>
    <row r="7" spans="1:39" x14ac:dyDescent="0.25">
      <c r="M7" s="349"/>
      <c r="N7" s="428"/>
    </row>
    <row r="8" spans="1:39" x14ac:dyDescent="0.25">
      <c r="M8" s="349"/>
      <c r="N8" s="428"/>
    </row>
    <row r="10" spans="1:39" x14ac:dyDescent="0.25">
      <c r="C10" s="275"/>
      <c r="D10" s="408" t="s">
        <v>159</v>
      </c>
      <c r="E10" s="409"/>
      <c r="F10" s="409"/>
      <c r="G10" s="409"/>
      <c r="H10" s="409"/>
      <c r="I10" s="409"/>
      <c r="J10" s="409"/>
      <c r="K10" s="409"/>
      <c r="L10" s="409"/>
      <c r="M10" s="409"/>
      <c r="N10" s="409"/>
      <c r="O10" s="409"/>
      <c r="P10" s="409"/>
      <c r="Q10" s="409"/>
      <c r="R10" s="409"/>
      <c r="S10" s="409"/>
      <c r="T10" s="409"/>
      <c r="U10" s="409"/>
      <c r="V10" s="409"/>
      <c r="W10" s="409"/>
      <c r="X10" s="409"/>
      <c r="Y10" s="409"/>
      <c r="Z10" s="409"/>
      <c r="AA10" s="410"/>
      <c r="AB10" s="219"/>
      <c r="AC10" s="408"/>
      <c r="AD10" s="409"/>
      <c r="AE10" s="410"/>
    </row>
    <row r="11" spans="1:39" x14ac:dyDescent="0.25">
      <c r="D11" s="288"/>
      <c r="E11" s="289" t="s">
        <v>155</v>
      </c>
      <c r="F11" s="290"/>
      <c r="G11" s="30"/>
      <c r="H11" s="254" t="s">
        <v>156</v>
      </c>
      <c r="I11" s="254"/>
      <c r="J11" s="207"/>
      <c r="K11" s="208" t="s">
        <v>157</v>
      </c>
      <c r="L11" s="208"/>
      <c r="M11" s="304"/>
      <c r="N11" s="305" t="s">
        <v>212</v>
      </c>
      <c r="O11" s="305"/>
      <c r="P11" s="304"/>
      <c r="Q11" s="305" t="s">
        <v>213</v>
      </c>
      <c r="R11" s="305"/>
      <c r="S11" s="304"/>
      <c r="T11" s="305" t="s">
        <v>214</v>
      </c>
      <c r="U11" s="305"/>
      <c r="V11" s="304"/>
      <c r="W11" s="305" t="s">
        <v>215</v>
      </c>
      <c r="X11" s="305"/>
      <c r="Y11" s="576" t="s">
        <v>114</v>
      </c>
      <c r="Z11" s="577"/>
      <c r="AA11" s="578"/>
      <c r="AB11" s="217"/>
      <c r="AC11" s="576"/>
      <c r="AD11" s="577"/>
      <c r="AE11" s="578"/>
    </row>
    <row r="12" spans="1:39" x14ac:dyDescent="0.25">
      <c r="C12" s="108"/>
      <c r="D12" s="593" t="s">
        <v>147</v>
      </c>
      <c r="E12" s="594"/>
      <c r="F12" s="594"/>
      <c r="G12" s="595" t="s">
        <v>148</v>
      </c>
      <c r="H12" s="596"/>
      <c r="I12" s="597"/>
      <c r="J12" s="568" t="s">
        <v>160</v>
      </c>
      <c r="K12" s="569"/>
      <c r="L12" s="570"/>
      <c r="M12" s="568" t="s">
        <v>160</v>
      </c>
      <c r="N12" s="569"/>
      <c r="O12" s="570"/>
      <c r="P12" s="568" t="s">
        <v>160</v>
      </c>
      <c r="Q12" s="569"/>
      <c r="R12" s="570"/>
      <c r="S12" s="568" t="s">
        <v>160</v>
      </c>
      <c r="T12" s="569"/>
      <c r="U12" s="570"/>
      <c r="V12" s="568" t="s">
        <v>160</v>
      </c>
      <c r="W12" s="569"/>
      <c r="X12" s="570"/>
      <c r="Y12" s="565" t="s">
        <v>53</v>
      </c>
      <c r="Z12" s="566"/>
      <c r="AA12" s="567"/>
      <c r="AB12" s="218"/>
      <c r="AC12" s="565" t="s">
        <v>226</v>
      </c>
      <c r="AD12" s="566"/>
      <c r="AE12" s="567"/>
    </row>
    <row r="13" spans="1:39" x14ac:dyDescent="0.25">
      <c r="B13" s="49" t="s">
        <v>161</v>
      </c>
      <c r="C13" s="88" t="s">
        <v>162</v>
      </c>
      <c r="D13" s="74" t="s">
        <v>49</v>
      </c>
      <c r="E13" s="75" t="s">
        <v>50</v>
      </c>
      <c r="F13" s="76" t="s">
        <v>51</v>
      </c>
      <c r="G13" s="77" t="s">
        <v>49</v>
      </c>
      <c r="H13" s="78" t="s">
        <v>50</v>
      </c>
      <c r="I13" s="78" t="s">
        <v>51</v>
      </c>
      <c r="J13" s="74" t="s">
        <v>49</v>
      </c>
      <c r="K13" s="75" t="s">
        <v>50</v>
      </c>
      <c r="L13" s="75" t="s">
        <v>51</v>
      </c>
      <c r="M13" s="74" t="s">
        <v>49</v>
      </c>
      <c r="N13" s="75" t="s">
        <v>50</v>
      </c>
      <c r="O13" s="75" t="s">
        <v>51</v>
      </c>
      <c r="P13" s="74" t="s">
        <v>49</v>
      </c>
      <c r="Q13" s="75" t="s">
        <v>50</v>
      </c>
      <c r="R13" s="75" t="s">
        <v>51</v>
      </c>
      <c r="S13" s="74" t="s">
        <v>49</v>
      </c>
      <c r="T13" s="75" t="s">
        <v>50</v>
      </c>
      <c r="U13" s="75" t="s">
        <v>51</v>
      </c>
      <c r="V13" s="74" t="s">
        <v>49</v>
      </c>
      <c r="W13" s="75" t="s">
        <v>50</v>
      </c>
      <c r="X13" s="75" t="s">
        <v>51</v>
      </c>
      <c r="Y13" s="122" t="s">
        <v>49</v>
      </c>
      <c r="Z13" s="123" t="s">
        <v>52</v>
      </c>
      <c r="AA13" s="294" t="s">
        <v>51</v>
      </c>
      <c r="AB13" s="88"/>
      <c r="AC13" s="122" t="s">
        <v>49</v>
      </c>
      <c r="AD13" s="123" t="s">
        <v>52</v>
      </c>
      <c r="AE13" s="294" t="s">
        <v>51</v>
      </c>
    </row>
    <row r="14" spans="1:39" ht="15.75" thickBot="1" x14ac:dyDescent="0.3">
      <c r="B14" s="49">
        <v>2013</v>
      </c>
      <c r="C14" s="49">
        <f>B14+3</f>
        <v>2016</v>
      </c>
      <c r="D14" s="87"/>
      <c r="E14" s="88"/>
      <c r="F14" s="88"/>
      <c r="G14" s="69"/>
      <c r="H14" s="70"/>
      <c r="I14" s="70"/>
      <c r="J14" s="54">
        <v>10245755</v>
      </c>
      <c r="K14" s="88"/>
      <c r="L14" s="88"/>
      <c r="M14" s="40"/>
      <c r="N14" s="115"/>
      <c r="O14" s="116"/>
      <c r="P14" s="40"/>
      <c r="Q14" s="115"/>
      <c r="R14" s="116"/>
      <c r="S14" s="429"/>
      <c r="T14" s="115"/>
      <c r="U14" s="116"/>
      <c r="V14" s="87"/>
      <c r="W14" s="88"/>
      <c r="X14" s="88"/>
      <c r="Y14" s="124"/>
      <c r="Z14" s="125"/>
      <c r="AA14" s="295"/>
      <c r="AB14" s="111"/>
      <c r="AC14" s="124"/>
      <c r="AD14" s="125"/>
      <c r="AE14" s="295"/>
    </row>
    <row r="15" spans="1:39" ht="16.5" thickTop="1" thickBot="1" x14ac:dyDescent="0.3">
      <c r="B15" s="49">
        <f>B14+1</f>
        <v>2014</v>
      </c>
      <c r="C15" s="49">
        <f t="shared" ref="C15:C45" si="0">B15+3</f>
        <v>2017</v>
      </c>
      <c r="D15" s="87"/>
      <c r="E15" s="75"/>
      <c r="F15" s="75"/>
      <c r="G15" s="329">
        <v>-28041895</v>
      </c>
      <c r="H15" s="292">
        <v>21</v>
      </c>
      <c r="I15" s="58">
        <f>-PMT(1.075/1.03-1,H15,G15*1.075^0.5,0,1)</f>
        <v>-2053724.8999443729</v>
      </c>
      <c r="J15" s="57">
        <v>10864793</v>
      </c>
      <c r="K15" s="75"/>
      <c r="L15" s="75"/>
      <c r="M15" s="315">
        <f>255215749*0.069</f>
        <v>17609886.681000002</v>
      </c>
      <c r="N15" s="75"/>
      <c r="O15" s="76"/>
      <c r="P15" s="421">
        <f>106246311-101203363</f>
        <v>5042948</v>
      </c>
      <c r="Q15" s="75"/>
      <c r="R15" s="76"/>
      <c r="S15" s="421">
        <f>111540548-106246311</f>
        <v>5294237</v>
      </c>
      <c r="T15" s="75"/>
      <c r="U15" s="76"/>
      <c r="V15" s="421">
        <f>122933600-111540548</f>
        <v>11393052</v>
      </c>
      <c r="W15" s="75"/>
      <c r="X15" s="76"/>
      <c r="Y15" s="92"/>
      <c r="Z15" s="255"/>
      <c r="AA15" s="296"/>
      <c r="AB15" s="111"/>
      <c r="AC15" s="92"/>
      <c r="AD15" s="255"/>
      <c r="AE15" s="296"/>
    </row>
    <row r="16" spans="1:39" ht="16.5" thickTop="1" thickBot="1" x14ac:dyDescent="0.3">
      <c r="A16" s="49">
        <v>1</v>
      </c>
      <c r="B16" s="49">
        <f>B15+1</f>
        <v>2015</v>
      </c>
      <c r="C16" s="49">
        <f t="shared" si="0"/>
        <v>2018</v>
      </c>
      <c r="D16" s="293">
        <v>118168306</v>
      </c>
      <c r="E16" s="245">
        <v>17</v>
      </c>
      <c r="F16" s="56">
        <f>-PMT(1.075/1.03-1,E16,D16*1.075^0.5,0,1)</f>
        <v>9927463.7644708678</v>
      </c>
      <c r="G16" s="56">
        <f>G15*1.075-I15*1.075^0.5</f>
        <v>-28015689.827821732</v>
      </c>
      <c r="H16" s="63">
        <f>H15-1</f>
        <v>20</v>
      </c>
      <c r="I16" s="56">
        <f t="shared" ref="I16:I32" si="1">-PMT(1.075/1.03-1,H16,G16*1.075^0.5,0,1)</f>
        <v>-2115336.6469427045</v>
      </c>
      <c r="J16" s="302">
        <v>11521602</v>
      </c>
      <c r="K16" s="63">
        <v>20</v>
      </c>
      <c r="L16" s="56">
        <f>-PMT(1.075/1.03-1,K16,J16*1.075^0.5,0,1)</f>
        <v>869943.48851924471</v>
      </c>
      <c r="M16" s="299">
        <f>M15*1.07</f>
        <v>18842578.748670004</v>
      </c>
      <c r="N16" s="71">
        <v>20</v>
      </c>
      <c r="O16" s="303">
        <f>-PMT(1.07/1.03-1,N16,M16*1.07^0.5,0,1)</f>
        <v>1366356.7617567908</v>
      </c>
      <c r="P16" s="299">
        <f>P15*1.07</f>
        <v>5395954.3600000003</v>
      </c>
      <c r="Q16" s="71">
        <v>20</v>
      </c>
      <c r="R16" s="303">
        <f>-PMT(1.07/1.03-1,Q16,P16*1.07^0.5,0,1)</f>
        <v>391283.95450847945</v>
      </c>
      <c r="S16" s="299">
        <f>S15*1.07</f>
        <v>5664833.5900000008</v>
      </c>
      <c r="T16" s="71">
        <v>20</v>
      </c>
      <c r="U16" s="303">
        <f>-PMT(1.07/1.03-1,T16,S16*1.07^0.5,0,1)</f>
        <v>410781.54870228859</v>
      </c>
      <c r="V16" s="299">
        <f>V15*1.07</f>
        <v>12190565.640000001</v>
      </c>
      <c r="W16" s="71">
        <v>20</v>
      </c>
      <c r="X16" s="303">
        <f>-PMT(1.07/1.03-1,W16,V16*1.07^0.5,0,1)</f>
        <v>883990.56275827962</v>
      </c>
      <c r="Y16" s="302">
        <f t="shared" ref="Y16:Y35" si="2">D16+G16+J16+M16+P16+S16+V16</f>
        <v>143768150.51084828</v>
      </c>
      <c r="Z16" s="245">
        <v>20</v>
      </c>
      <c r="AA16" s="301">
        <f t="shared" ref="AA16:AA35" si="3">F16+I16+L16+O16+R16+U16+X16</f>
        <v>11734483.433773246</v>
      </c>
      <c r="AB16" s="111"/>
      <c r="AC16" s="293">
        <f>Y16</f>
        <v>143768150.51084828</v>
      </c>
      <c r="AD16" s="245">
        <v>20</v>
      </c>
      <c r="AE16" s="55">
        <f>-PMT(1.075-1,AD16,AC16*1.075^0.5,0,1)</f>
        <v>13601690.598925119</v>
      </c>
      <c r="AM16" s="216">
        <v>500000</v>
      </c>
    </row>
    <row r="17" spans="1:39" ht="15.75" thickTop="1" x14ac:dyDescent="0.25">
      <c r="A17" s="49">
        <f>A16+1</f>
        <v>2</v>
      </c>
      <c r="B17" s="49">
        <f t="shared" ref="B17:B45" si="4">B16+1</f>
        <v>2016</v>
      </c>
      <c r="C17" s="49">
        <f t="shared" si="0"/>
        <v>2019</v>
      </c>
      <c r="D17" s="54">
        <f>D16*1.075-F16*1.075^0.5</f>
        <v>116737915.44303818</v>
      </c>
      <c r="E17" s="63">
        <f>E16-1</f>
        <v>16</v>
      </c>
      <c r="F17" s="56">
        <f t="shared" ref="F17:F32" si="5">-PMT(1.075/1.03-1,E17,D17*1.075^0.5,0,1)</f>
        <v>10225287.677404996</v>
      </c>
      <c r="G17" s="56">
        <f t="shared" ref="G17:G32" si="6">G16*1.075-I16*1.075^0.5</f>
        <v>-27923638.848814745</v>
      </c>
      <c r="H17" s="63">
        <f t="shared" ref="H17:H35" si="7">H16-1</f>
        <v>19</v>
      </c>
      <c r="I17" s="56">
        <f t="shared" si="1"/>
        <v>-2178796.746350985</v>
      </c>
      <c r="J17" s="56">
        <f>J16*1.075-L16*1.075^0.5</f>
        <v>11483745.543480568</v>
      </c>
      <c r="K17" s="63">
        <f>K16-1</f>
        <v>19</v>
      </c>
      <c r="L17" s="56">
        <f t="shared" ref="L17:L35" si="8">-PMT(1.075/1.03-1,K17,J17*1.075^0.5,0,1)</f>
        <v>896041.79317482177</v>
      </c>
      <c r="M17" s="54">
        <f>M16*1.07-O16*1.07^0.5</f>
        <v>18748188.836727224</v>
      </c>
      <c r="N17" s="63">
        <f>N16-1</f>
        <v>19</v>
      </c>
      <c r="O17" s="55">
        <f>-PMT(1.07/1.03-1,N17,M17*1.07^0.5,0,1)</f>
        <v>1407347.4646094944</v>
      </c>
      <c r="P17" s="54">
        <f>P16*1.07-R16*1.07^0.5</f>
        <v>5368923.89545047</v>
      </c>
      <c r="Q17" s="63">
        <f>Q16-1</f>
        <v>19</v>
      </c>
      <c r="R17" s="55">
        <f>-PMT(1.07/1.03-1,Q17,P17*1.07^0.5,0,1)</f>
        <v>403022.47314373386</v>
      </c>
      <c r="S17" s="54">
        <f>S16*1.07-U16*1.07^0.5</f>
        <v>5636456.2032918073</v>
      </c>
      <c r="T17" s="63">
        <f>T16-1</f>
        <v>19</v>
      </c>
      <c r="U17" s="55">
        <f>-PMT(1.07/1.03-1,T17,S17*1.07^0.5,0,1)</f>
        <v>423104.99516335729</v>
      </c>
      <c r="V17" s="54">
        <f>V16*1.07-X16*1.07^0.5</f>
        <v>12129498.28650023</v>
      </c>
      <c r="W17" s="63">
        <f>W16-1</f>
        <v>19</v>
      </c>
      <c r="X17" s="55">
        <f>-PMT(1.07/1.03-1,W17,V17*1.07^0.5,0,1)</f>
        <v>910510.27964102814</v>
      </c>
      <c r="Y17" s="56">
        <f t="shared" si="2"/>
        <v>142181089.35967374</v>
      </c>
      <c r="Z17" s="63">
        <f>Z16-1</f>
        <v>19</v>
      </c>
      <c r="AA17" s="297">
        <f t="shared" si="3"/>
        <v>12086517.936786447</v>
      </c>
      <c r="AB17" s="111"/>
      <c r="AC17" s="54">
        <f>AC16*1.07375-AE16*1.07375^0.5</f>
        <v>140276720.17242298</v>
      </c>
      <c r="AD17" s="63">
        <f>AD16-1</f>
        <v>19</v>
      </c>
      <c r="AE17" s="55">
        <f>-PMT(1.07375-1,AD17,AC17*1.07375^0.5,0,1)</f>
        <v>13468434.548488129</v>
      </c>
      <c r="AM17" s="216">
        <v>500000</v>
      </c>
    </row>
    <row r="18" spans="1:39" x14ac:dyDescent="0.25">
      <c r="A18" s="49">
        <f t="shared" ref="A18:A45" si="9">A17+1</f>
        <v>3</v>
      </c>
      <c r="B18" s="488">
        <f t="shared" si="4"/>
        <v>2017</v>
      </c>
      <c r="C18" s="49">
        <f t="shared" si="0"/>
        <v>2020</v>
      </c>
      <c r="D18" s="54">
        <f t="shared" ref="D18:D32" si="10">D17*1.075-F17*1.075^0.5</f>
        <v>114891455.18909538</v>
      </c>
      <c r="E18" s="63">
        <f t="shared" ref="E18:E32" si="11">E17-1</f>
        <v>15</v>
      </c>
      <c r="F18" s="56">
        <f t="shared" si="5"/>
        <v>10532046.307727145</v>
      </c>
      <c r="G18" s="56">
        <f t="shared" si="6"/>
        <v>-27758887.214899424</v>
      </c>
      <c r="H18" s="63">
        <f t="shared" si="7"/>
        <v>18</v>
      </c>
      <c r="I18" s="56">
        <f t="shared" si="1"/>
        <v>-2244160.6487415144</v>
      </c>
      <c r="J18" s="56">
        <f t="shared" ref="J18:J35" si="12">J17*1.075-L17*1.075^0.5</f>
        <v>11415990.554526595</v>
      </c>
      <c r="K18" s="63">
        <f t="shared" ref="K18:K35" si="13">K17-1</f>
        <v>18</v>
      </c>
      <c r="L18" s="56">
        <f t="shared" si="8"/>
        <v>922923.04697006661</v>
      </c>
      <c r="M18" s="54">
        <f t="shared" ref="M18:M35" si="14">M17*1.07-O17*1.07^0.5</f>
        <v>18604790.518217959</v>
      </c>
      <c r="N18" s="63">
        <f t="shared" ref="N18:N35" si="15">N17-1</f>
        <v>18</v>
      </c>
      <c r="O18" s="55">
        <f t="shared" ref="O18:O35" si="16">-PMT(1.07/1.03-1,N18,M18*1.07^0.5,0,1)</f>
        <v>1449567.8885477791</v>
      </c>
      <c r="P18" s="54">
        <f>P17*1.07-R17*1.07^0.5</f>
        <v>5327858.8802899858</v>
      </c>
      <c r="Q18" s="63">
        <f t="shared" ref="Q18:Q35" si="17">Q17-1</f>
        <v>18</v>
      </c>
      <c r="R18" s="55">
        <f t="shared" ref="R18:R35" si="18">-PMT(1.07/1.03-1,Q18,P18*1.07^0.5,0,1)</f>
        <v>415113.14733804582</v>
      </c>
      <c r="S18" s="54">
        <f>S17*1.07-U17*1.07^0.5</f>
        <v>5593344.9273737948</v>
      </c>
      <c r="T18" s="63">
        <f t="shared" ref="T18:T35" si="19">T17-1</f>
        <v>18</v>
      </c>
      <c r="U18" s="55">
        <f t="shared" ref="U18:U35" si="20">-PMT(1.07/1.03-1,T18,S18*1.07^0.5,0,1)</f>
        <v>435798.14501825807</v>
      </c>
      <c r="V18" s="54">
        <f t="shared" ref="V18:V35" si="21">V17*1.07-X17*1.07^0.5</f>
        <v>12036724.009806484</v>
      </c>
      <c r="W18" s="63">
        <f t="shared" ref="W18:W35" si="22">W17-1</f>
        <v>18</v>
      </c>
      <c r="X18" s="55">
        <f t="shared" ref="X18:X35" si="23">-PMT(1.07/1.03-1,W18,V18*1.07^0.5,0,1)</f>
        <v>937825.58803025901</v>
      </c>
      <c r="Y18" s="56">
        <f t="shared" si="2"/>
        <v>140111276.86441076</v>
      </c>
      <c r="Z18" s="63">
        <f t="shared" ref="Z18:Z45" si="24">Z17-1</f>
        <v>18</v>
      </c>
      <c r="AA18" s="297">
        <f t="shared" si="3"/>
        <v>12449113.474890038</v>
      </c>
      <c r="AB18" s="111"/>
      <c r="AC18" s="54">
        <f>AC17*1.0725-AE17*1.0725^0.5</f>
        <v>136498659.3193295</v>
      </c>
      <c r="AD18" s="63">
        <f t="shared" ref="AD18:AD35" si="25">AD17-1</f>
        <v>18</v>
      </c>
      <c r="AE18" s="55">
        <f>-PMT(1.0725-1,AD18,AC18*1.0725^0.5,0,1)</f>
        <v>13340390.200379087</v>
      </c>
      <c r="AM18" s="216">
        <v>500000</v>
      </c>
    </row>
    <row r="19" spans="1:39" x14ac:dyDescent="0.25">
      <c r="A19" s="49">
        <f t="shared" si="9"/>
        <v>4</v>
      </c>
      <c r="B19" s="488">
        <f t="shared" si="4"/>
        <v>2018</v>
      </c>
      <c r="C19" s="49">
        <f t="shared" si="0"/>
        <v>2021</v>
      </c>
      <c r="D19" s="54">
        <f t="shared" si="10"/>
        <v>112588456.29874174</v>
      </c>
      <c r="E19" s="63">
        <f t="shared" si="11"/>
        <v>14</v>
      </c>
      <c r="F19" s="56">
        <f t="shared" si="5"/>
        <v>10848007.696958959</v>
      </c>
      <c r="G19" s="56">
        <f t="shared" si="6"/>
        <v>-27514008.472013164</v>
      </c>
      <c r="H19" s="63">
        <f t="shared" si="7"/>
        <v>17</v>
      </c>
      <c r="I19" s="56">
        <f t="shared" si="1"/>
        <v>-2311485.4682037593</v>
      </c>
      <c r="J19" s="56">
        <f t="shared" si="12"/>
        <v>11315282.864259625</v>
      </c>
      <c r="K19" s="63">
        <f t="shared" si="13"/>
        <v>17</v>
      </c>
      <c r="L19" s="56">
        <f t="shared" si="8"/>
        <v>950610.73837916879</v>
      </c>
      <c r="M19" s="54">
        <f t="shared" si="14"/>
        <v>18407681.171300638</v>
      </c>
      <c r="N19" s="63">
        <f t="shared" si="15"/>
        <v>17</v>
      </c>
      <c r="O19" s="55">
        <f t="shared" si="16"/>
        <v>1493054.9252042125</v>
      </c>
      <c r="P19" s="54">
        <f t="shared" ref="P19:P35" si="26">P18*1.07-R18*1.07^0.5</f>
        <v>5271412.6234330079</v>
      </c>
      <c r="Q19" s="63">
        <f t="shared" si="17"/>
        <v>17</v>
      </c>
      <c r="R19" s="55">
        <f t="shared" si="18"/>
        <v>427566.54175818729</v>
      </c>
      <c r="S19" s="54">
        <f t="shared" ref="S19:S35" si="27">S18*1.07-U18*1.07^0.5</f>
        <v>5534085.965837067</v>
      </c>
      <c r="T19" s="63">
        <f t="shared" si="19"/>
        <v>17</v>
      </c>
      <c r="U19" s="55">
        <f t="shared" si="20"/>
        <v>448872.08936880587</v>
      </c>
      <c r="V19" s="54">
        <f t="shared" si="21"/>
        <v>11909200.359041713</v>
      </c>
      <c r="W19" s="63">
        <f t="shared" si="22"/>
        <v>17</v>
      </c>
      <c r="X19" s="55">
        <f t="shared" si="23"/>
        <v>965960.35567116691</v>
      </c>
      <c r="Y19" s="56">
        <f t="shared" si="2"/>
        <v>137512110.81060064</v>
      </c>
      <c r="Z19" s="63">
        <f t="shared" si="24"/>
        <v>17</v>
      </c>
      <c r="AA19" s="297">
        <f t="shared" si="3"/>
        <v>12822586.879136741</v>
      </c>
      <c r="AB19" s="111"/>
      <c r="AC19" s="54">
        <f>AC18*1.07-AE18*1.07^0.5</f>
        <v>132254158.54793197</v>
      </c>
      <c r="AD19" s="63">
        <f t="shared" si="25"/>
        <v>17</v>
      </c>
      <c r="AE19" s="55">
        <f>-PMT(1.07-1,AD19,AC19*1.07^0.5,0,1)</f>
        <v>13095564.956689188</v>
      </c>
      <c r="AM19" s="216">
        <v>500000</v>
      </c>
    </row>
    <row r="20" spans="1:39" x14ac:dyDescent="0.25">
      <c r="A20" s="49">
        <f t="shared" si="9"/>
        <v>5</v>
      </c>
      <c r="B20" s="488">
        <f t="shared" si="4"/>
        <v>2019</v>
      </c>
      <c r="C20" s="49">
        <f t="shared" si="0"/>
        <v>2022</v>
      </c>
      <c r="D20" s="54">
        <f t="shared" si="10"/>
        <v>109785136.75072551</v>
      </c>
      <c r="E20" s="63">
        <f t="shared" si="11"/>
        <v>13</v>
      </c>
      <c r="F20" s="56">
        <f t="shared" si="5"/>
        <v>11173447.927867729</v>
      </c>
      <c r="G20" s="56">
        <f t="shared" si="6"/>
        <v>-27180959.964890324</v>
      </c>
      <c r="H20" s="63">
        <f t="shared" si="7"/>
        <v>16</v>
      </c>
      <c r="I20" s="56">
        <f t="shared" si="1"/>
        <v>-2380830.032249873</v>
      </c>
      <c r="J20" s="56">
        <f t="shared" si="12"/>
        <v>11178314.887766937</v>
      </c>
      <c r="K20" s="63">
        <f t="shared" si="13"/>
        <v>16</v>
      </c>
      <c r="L20" s="56">
        <f t="shared" si="8"/>
        <v>979129.06053054414</v>
      </c>
      <c r="M20" s="54">
        <f t="shared" si="14"/>
        <v>18151790.829603329</v>
      </c>
      <c r="N20" s="63">
        <f t="shared" si="15"/>
        <v>16</v>
      </c>
      <c r="O20" s="55">
        <f t="shared" si="16"/>
        <v>1537846.572960339</v>
      </c>
      <c r="P20" s="54">
        <f t="shared" si="26"/>
        <v>5198133.2372417226</v>
      </c>
      <c r="Q20" s="63">
        <f t="shared" si="17"/>
        <v>16</v>
      </c>
      <c r="R20" s="55">
        <f t="shared" si="18"/>
        <v>440393.5380109328</v>
      </c>
      <c r="S20" s="54">
        <f t="shared" si="27"/>
        <v>5457155.0837991815</v>
      </c>
      <c r="T20" s="63">
        <f t="shared" si="19"/>
        <v>16</v>
      </c>
      <c r="U20" s="55">
        <f t="shared" si="20"/>
        <v>462338.25204986997</v>
      </c>
      <c r="V20" s="54">
        <f t="shared" si="21"/>
        <v>11743647.22277987</v>
      </c>
      <c r="W20" s="63">
        <f t="shared" si="22"/>
        <v>16</v>
      </c>
      <c r="X20" s="55">
        <f t="shared" si="23"/>
        <v>994939.16634130199</v>
      </c>
      <c r="Y20" s="56">
        <f t="shared" si="2"/>
        <v>134333218.04702622</v>
      </c>
      <c r="Z20" s="63">
        <f t="shared" si="24"/>
        <v>16</v>
      </c>
      <c r="AA20" s="297">
        <f t="shared" si="3"/>
        <v>13207264.485510845</v>
      </c>
      <c r="AB20" s="111"/>
      <c r="AC20" s="54">
        <f>AC19*1.07-AE19*1.07^0.5</f>
        <v>127965791.92380713</v>
      </c>
      <c r="AD20" s="63">
        <f t="shared" si="25"/>
        <v>16</v>
      </c>
      <c r="AE20" s="55">
        <f t="shared" ref="AE20:AE35" si="28">-PMT(1.07-1,AD20,AC20*1.07^0.5,0,1)</f>
        <v>13095564.956689185</v>
      </c>
      <c r="AM20" s="216">
        <v>500000</v>
      </c>
    </row>
    <row r="21" spans="1:39" x14ac:dyDescent="0.25">
      <c r="A21" s="49">
        <f t="shared" si="9"/>
        <v>6</v>
      </c>
      <c r="B21" s="49">
        <f t="shared" si="4"/>
        <v>2020</v>
      </c>
      <c r="C21" s="49">
        <f t="shared" si="0"/>
        <v>2023</v>
      </c>
      <c r="D21" s="54">
        <f t="shared" si="10"/>
        <v>106434144.6234954</v>
      </c>
      <c r="E21" s="63">
        <f t="shared" si="11"/>
        <v>12</v>
      </c>
      <c r="F21" s="56">
        <f t="shared" si="5"/>
        <v>11508651.365703758</v>
      </c>
      <c r="G21" s="56">
        <f t="shared" si="6"/>
        <v>-26751034.845457558</v>
      </c>
      <c r="H21" s="63">
        <f t="shared" si="7"/>
        <v>15</v>
      </c>
      <c r="I21" s="56">
        <f t="shared" si="1"/>
        <v>-2452254.933217369</v>
      </c>
      <c r="J21" s="56">
        <f t="shared" si="12"/>
        <v>11001505.887297932</v>
      </c>
      <c r="K21" s="63">
        <f t="shared" si="13"/>
        <v>15</v>
      </c>
      <c r="L21" s="56">
        <f t="shared" si="8"/>
        <v>1008502.9323464603</v>
      </c>
      <c r="M21" s="54">
        <f t="shared" si="14"/>
        <v>17831655.323276557</v>
      </c>
      <c r="N21" s="63">
        <f t="shared" si="15"/>
        <v>15</v>
      </c>
      <c r="O21" s="55">
        <f t="shared" si="16"/>
        <v>1583981.9701491492</v>
      </c>
      <c r="P21" s="54">
        <f t="shared" si="26"/>
        <v>5106455.9459221</v>
      </c>
      <c r="Q21" s="63">
        <f t="shared" si="17"/>
        <v>15</v>
      </c>
      <c r="R21" s="55">
        <f t="shared" si="18"/>
        <v>453605.34415126091</v>
      </c>
      <c r="S21" s="54">
        <f t="shared" si="27"/>
        <v>5360909.5330292508</v>
      </c>
      <c r="T21" s="63">
        <f t="shared" si="19"/>
        <v>15</v>
      </c>
      <c r="U21" s="55">
        <f t="shared" si="20"/>
        <v>476208.39961136627</v>
      </c>
      <c r="V21" s="54">
        <f t="shared" si="21"/>
        <v>11536529.452137856</v>
      </c>
      <c r="W21" s="63">
        <f t="shared" si="22"/>
        <v>15</v>
      </c>
      <c r="X21" s="55">
        <f t="shared" si="23"/>
        <v>1024787.3413315412</v>
      </c>
      <c r="Y21" s="56">
        <f t="shared" si="2"/>
        <v>130520165.91970155</v>
      </c>
      <c r="Z21" s="63">
        <f t="shared" si="24"/>
        <v>15</v>
      </c>
      <c r="AA21" s="297">
        <f t="shared" si="3"/>
        <v>13603482.420076165</v>
      </c>
      <c r="AB21" s="111"/>
      <c r="AC21" s="54">
        <f>AC20*1.07-AE20*1.07^0.5</f>
        <v>123377239.63599356</v>
      </c>
      <c r="AD21" s="63">
        <f t="shared" si="25"/>
        <v>15</v>
      </c>
      <c r="AE21" s="55">
        <f t="shared" si="28"/>
        <v>13095564.956689185</v>
      </c>
      <c r="AM21" s="216">
        <v>500000</v>
      </c>
    </row>
    <row r="22" spans="1:39" x14ac:dyDescent="0.25">
      <c r="A22" s="49">
        <f t="shared" si="9"/>
        <v>7</v>
      </c>
      <c r="B22" s="49">
        <f t="shared" si="4"/>
        <v>2021</v>
      </c>
      <c r="C22" s="49">
        <f t="shared" si="0"/>
        <v>2024</v>
      </c>
      <c r="D22" s="54">
        <f t="shared" si="10"/>
        <v>102484281.76521701</v>
      </c>
      <c r="E22" s="63">
        <f t="shared" si="11"/>
        <v>11</v>
      </c>
      <c r="F22" s="56">
        <f t="shared" si="5"/>
        <v>11853910.906674869</v>
      </c>
      <c r="G22" s="56">
        <f t="shared" si="6"/>
        <v>-26214810.428563345</v>
      </c>
      <c r="H22" s="63">
        <f t="shared" si="7"/>
        <v>14</v>
      </c>
      <c r="I22" s="56">
        <f t="shared" si="1"/>
        <v>-2525822.5812138901</v>
      </c>
      <c r="J22" s="56">
        <f t="shared" si="12"/>
        <v>10780980.733282205</v>
      </c>
      <c r="K22" s="63">
        <f t="shared" si="13"/>
        <v>14</v>
      </c>
      <c r="L22" s="56">
        <f t="shared" si="8"/>
        <v>1038758.020316854</v>
      </c>
      <c r="M22" s="54">
        <f t="shared" si="14"/>
        <v>17441387.505574942</v>
      </c>
      <c r="N22" s="63">
        <f t="shared" si="15"/>
        <v>14</v>
      </c>
      <c r="O22" s="55">
        <f t="shared" si="16"/>
        <v>1631501.4292536234</v>
      </c>
      <c r="P22" s="54">
        <f t="shared" si="26"/>
        <v>4994694.8456723075</v>
      </c>
      <c r="Q22" s="63">
        <f t="shared" si="17"/>
        <v>14</v>
      </c>
      <c r="R22" s="55">
        <f t="shared" si="18"/>
        <v>467213.50447579869</v>
      </c>
      <c r="S22" s="54">
        <f t="shared" si="27"/>
        <v>5243579.4015063476</v>
      </c>
      <c r="T22" s="63">
        <f t="shared" si="19"/>
        <v>14</v>
      </c>
      <c r="U22" s="55">
        <f t="shared" si="20"/>
        <v>490494.65159970708</v>
      </c>
      <c r="V22" s="54">
        <f t="shared" si="21"/>
        <v>11284038.245263802</v>
      </c>
      <c r="W22" s="63">
        <f t="shared" si="22"/>
        <v>14</v>
      </c>
      <c r="X22" s="55">
        <f t="shared" si="23"/>
        <v>1055530.9615714874</v>
      </c>
      <c r="Y22" s="56">
        <f t="shared" si="2"/>
        <v>126014152.06795327</v>
      </c>
      <c r="Z22" s="63">
        <f t="shared" si="24"/>
        <v>14</v>
      </c>
      <c r="AA22" s="297">
        <f t="shared" si="3"/>
        <v>14011586.892678449</v>
      </c>
      <c r="AB22" s="111"/>
      <c r="AC22" s="54">
        <f t="shared" ref="AC22:AC35" si="29">AC21*1.07-AE21*1.07^0.5</f>
        <v>118467488.68803304</v>
      </c>
      <c r="AD22" s="63">
        <f t="shared" si="25"/>
        <v>14</v>
      </c>
      <c r="AE22" s="55">
        <f t="shared" si="28"/>
        <v>13095564.956689183</v>
      </c>
      <c r="AM22" s="216">
        <v>500000</v>
      </c>
    </row>
    <row r="23" spans="1:39" x14ac:dyDescent="0.25">
      <c r="A23" s="49">
        <f t="shared" si="9"/>
        <v>8</v>
      </c>
      <c r="B23" s="49">
        <f t="shared" si="4"/>
        <v>2022</v>
      </c>
      <c r="C23" s="49">
        <f t="shared" si="0"/>
        <v>2025</v>
      </c>
      <c r="D23" s="54">
        <f t="shared" si="10"/>
        <v>97880206.481416523</v>
      </c>
      <c r="E23" s="63">
        <f t="shared" si="11"/>
        <v>10</v>
      </c>
      <c r="F23" s="56">
        <f t="shared" si="5"/>
        <v>12209528.23387512</v>
      </c>
      <c r="G23" s="56">
        <f t="shared" si="6"/>
        <v>-25562092.619492959</v>
      </c>
      <c r="H23" s="63">
        <f t="shared" si="7"/>
        <v>13</v>
      </c>
      <c r="I23" s="56">
        <f t="shared" si="1"/>
        <v>-2601597.2586503071</v>
      </c>
      <c r="J23" s="56">
        <f t="shared" si="12"/>
        <v>10512547.049848408</v>
      </c>
      <c r="K23" s="63">
        <f t="shared" si="13"/>
        <v>13</v>
      </c>
      <c r="L23" s="56">
        <f t="shared" si="8"/>
        <v>1069920.7609263596</v>
      </c>
      <c r="M23" s="54">
        <f t="shared" si="14"/>
        <v>16974646.429924283</v>
      </c>
      <c r="N23" s="63">
        <f t="shared" si="15"/>
        <v>13</v>
      </c>
      <c r="O23" s="55">
        <f t="shared" si="16"/>
        <v>1680446.472131233</v>
      </c>
      <c r="P23" s="54">
        <f t="shared" si="26"/>
        <v>4861034.0779110994</v>
      </c>
      <c r="Q23" s="63">
        <f t="shared" si="17"/>
        <v>13</v>
      </c>
      <c r="R23" s="55">
        <f t="shared" si="18"/>
        <v>481229.90961007279</v>
      </c>
      <c r="S23" s="54">
        <f t="shared" si="27"/>
        <v>5103258.3468117928</v>
      </c>
      <c r="T23" s="63">
        <f t="shared" si="19"/>
        <v>13</v>
      </c>
      <c r="U23" s="55">
        <f t="shared" si="20"/>
        <v>505209.49114769849</v>
      </c>
      <c r="V23" s="54">
        <f t="shared" si="21"/>
        <v>10982071.205852851</v>
      </c>
      <c r="W23" s="63">
        <f t="shared" si="22"/>
        <v>13</v>
      </c>
      <c r="X23" s="55">
        <f t="shared" si="23"/>
        <v>1087196.8904186322</v>
      </c>
      <c r="Y23" s="56">
        <f t="shared" si="2"/>
        <v>120751670.97227198</v>
      </c>
      <c r="Z23" s="63">
        <f t="shared" si="24"/>
        <v>13</v>
      </c>
      <c r="AA23" s="297">
        <f t="shared" si="3"/>
        <v>14431934.49945881</v>
      </c>
      <c r="AB23" s="111"/>
      <c r="AC23" s="54">
        <f t="shared" si="29"/>
        <v>113214055.17371529</v>
      </c>
      <c r="AD23" s="63">
        <f t="shared" si="25"/>
        <v>13</v>
      </c>
      <c r="AE23" s="55">
        <f t="shared" si="28"/>
        <v>13095564.956689183</v>
      </c>
      <c r="AM23" s="216">
        <v>500000</v>
      </c>
    </row>
    <row r="24" spans="1:39" x14ac:dyDescent="0.25">
      <c r="A24" s="49">
        <f t="shared" si="9"/>
        <v>9</v>
      </c>
      <c r="B24" s="49">
        <f t="shared" si="4"/>
        <v>2023</v>
      </c>
      <c r="C24" s="49">
        <f t="shared" si="0"/>
        <v>2026</v>
      </c>
      <c r="D24" s="54">
        <f t="shared" si="10"/>
        <v>92562113.658845231</v>
      </c>
      <c r="E24" s="63">
        <f t="shared" si="11"/>
        <v>9</v>
      </c>
      <c r="F24" s="56">
        <f t="shared" si="5"/>
        <v>12575814.080891369</v>
      </c>
      <c r="G24" s="56">
        <f t="shared" si="6"/>
        <v>-24781856.117005918</v>
      </c>
      <c r="H24" s="63">
        <f t="shared" si="7"/>
        <v>12</v>
      </c>
      <c r="I24" s="56">
        <f t="shared" si="1"/>
        <v>-2679645.1764098159</v>
      </c>
      <c r="J24" s="56">
        <f t="shared" si="12"/>
        <v>10191670.623004178</v>
      </c>
      <c r="K24" s="63">
        <f t="shared" si="13"/>
        <v>12</v>
      </c>
      <c r="L24" s="56">
        <f t="shared" si="8"/>
        <v>1102018.3837541505</v>
      </c>
      <c r="M24" s="54">
        <f t="shared" si="14"/>
        <v>16424604.332946852</v>
      </c>
      <c r="N24" s="63">
        <f t="shared" si="15"/>
        <v>12</v>
      </c>
      <c r="O24" s="55">
        <f t="shared" si="16"/>
        <v>1730859.8662951698</v>
      </c>
      <c r="P24" s="54">
        <f t="shared" si="26"/>
        <v>4703518.3741978584</v>
      </c>
      <c r="Q24" s="63">
        <f t="shared" si="17"/>
        <v>12</v>
      </c>
      <c r="R24" s="55">
        <f t="shared" si="18"/>
        <v>495666.80689837493</v>
      </c>
      <c r="S24" s="54">
        <f t="shared" si="27"/>
        <v>4937893.6699046195</v>
      </c>
      <c r="T24" s="63">
        <f t="shared" si="19"/>
        <v>12</v>
      </c>
      <c r="U24" s="55">
        <f t="shared" si="20"/>
        <v>520365.7758821295</v>
      </c>
      <c r="V24" s="54">
        <f t="shared" si="21"/>
        <v>10626210.982185753</v>
      </c>
      <c r="W24" s="63">
        <f t="shared" si="22"/>
        <v>12</v>
      </c>
      <c r="X24" s="55">
        <f t="shared" si="23"/>
        <v>1119812.7971311912</v>
      </c>
      <c r="Y24" s="56">
        <f t="shared" si="2"/>
        <v>114664155.52407858</v>
      </c>
      <c r="Z24" s="63">
        <f t="shared" si="24"/>
        <v>12</v>
      </c>
      <c r="AA24" s="297">
        <f t="shared" si="3"/>
        <v>14864892.534442568</v>
      </c>
      <c r="AB24" s="111"/>
      <c r="AC24" s="54">
        <f t="shared" si="29"/>
        <v>107592881.31339529</v>
      </c>
      <c r="AD24" s="63">
        <f t="shared" si="25"/>
        <v>12</v>
      </c>
      <c r="AE24" s="55">
        <f t="shared" si="28"/>
        <v>13095564.956689179</v>
      </c>
      <c r="AM24" s="216">
        <v>500000</v>
      </c>
    </row>
    <row r="25" spans="1:39" x14ac:dyDescent="0.25">
      <c r="A25" s="49">
        <f t="shared" si="9"/>
        <v>10</v>
      </c>
      <c r="B25" s="49">
        <f t="shared" si="4"/>
        <v>2024</v>
      </c>
      <c r="C25" s="49">
        <f t="shared" si="0"/>
        <v>2027</v>
      </c>
      <c r="D25" s="54">
        <f t="shared" si="10"/>
        <v>86465390.625320777</v>
      </c>
      <c r="E25" s="63">
        <f t="shared" si="11"/>
        <v>8</v>
      </c>
      <c r="F25" s="56">
        <f t="shared" si="5"/>
        <v>12953088.503318112</v>
      </c>
      <c r="G25" s="56">
        <f t="shared" si="6"/>
        <v>-23862180.073363878</v>
      </c>
      <c r="H25" s="63">
        <f t="shared" si="7"/>
        <v>11</v>
      </c>
      <c r="I25" s="56">
        <f t="shared" si="1"/>
        <v>-2760034.5317021101</v>
      </c>
      <c r="J25" s="56">
        <f t="shared" si="12"/>
        <v>9813448.9404791426</v>
      </c>
      <c r="K25" s="63">
        <f t="shared" si="13"/>
        <v>11</v>
      </c>
      <c r="L25" s="56">
        <f t="shared" si="8"/>
        <v>1135078.9352667748</v>
      </c>
      <c r="M25" s="54">
        <f t="shared" si="14"/>
        <v>15783911.268768838</v>
      </c>
      <c r="N25" s="63">
        <f t="shared" si="15"/>
        <v>11</v>
      </c>
      <c r="O25" s="55">
        <f t="shared" si="16"/>
        <v>1782785.662284025</v>
      </c>
      <c r="P25" s="54">
        <f t="shared" si="26"/>
        <v>4520042.9285496799</v>
      </c>
      <c r="Q25" s="63">
        <f t="shared" si="17"/>
        <v>11</v>
      </c>
      <c r="R25" s="55">
        <f t="shared" si="18"/>
        <v>510536.81110532617</v>
      </c>
      <c r="S25" s="54">
        <f t="shared" si="27"/>
        <v>4745275.6827784237</v>
      </c>
      <c r="T25" s="63">
        <f t="shared" si="19"/>
        <v>11</v>
      </c>
      <c r="U25" s="55">
        <f t="shared" si="20"/>
        <v>535976.74915859336</v>
      </c>
      <c r="V25" s="54">
        <f t="shared" si="21"/>
        <v>10211702.386619654</v>
      </c>
      <c r="W25" s="63">
        <f t="shared" si="22"/>
        <v>11</v>
      </c>
      <c r="X25" s="55">
        <f t="shared" si="23"/>
        <v>1153407.1810451269</v>
      </c>
      <c r="Y25" s="56">
        <f t="shared" si="2"/>
        <v>107677591.75915262</v>
      </c>
      <c r="Z25" s="63">
        <f t="shared" si="24"/>
        <v>11</v>
      </c>
      <c r="AA25" s="297">
        <f t="shared" si="3"/>
        <v>15310839.310475847</v>
      </c>
      <c r="AB25" s="111"/>
      <c r="AC25" s="54">
        <f t="shared" si="29"/>
        <v>101578225.2828529</v>
      </c>
      <c r="AD25" s="63">
        <f t="shared" si="25"/>
        <v>11</v>
      </c>
      <c r="AE25" s="55">
        <f t="shared" si="28"/>
        <v>13095564.956689183</v>
      </c>
      <c r="AM25" s="216">
        <v>500000</v>
      </c>
    </row>
    <row r="26" spans="1:39" x14ac:dyDescent="0.25">
      <c r="A26" s="49">
        <f t="shared" si="9"/>
        <v>11</v>
      </c>
      <c r="B26" s="49">
        <f t="shared" si="4"/>
        <v>2025</v>
      </c>
      <c r="C26" s="49">
        <f t="shared" si="0"/>
        <v>2028</v>
      </c>
      <c r="D26" s="54">
        <f t="shared" si="10"/>
        <v>79520246.917543843</v>
      </c>
      <c r="E26" s="63">
        <f t="shared" si="11"/>
        <v>7</v>
      </c>
      <c r="F26" s="56">
        <f t="shared" si="5"/>
        <v>13341681.158417653</v>
      </c>
      <c r="G26" s="56">
        <f t="shared" si="6"/>
        <v>-22790178.868876163</v>
      </c>
      <c r="H26" s="63">
        <f t="shared" si="7"/>
        <v>10</v>
      </c>
      <c r="I26" s="56">
        <f t="shared" si="1"/>
        <v>-2842835.567653174</v>
      </c>
      <c r="J26" s="56">
        <f t="shared" si="12"/>
        <v>9372582.7223872207</v>
      </c>
      <c r="K26" s="63">
        <f t="shared" si="13"/>
        <v>10</v>
      </c>
      <c r="L26" s="56">
        <f t="shared" si="8"/>
        <v>1169131.3033247783</v>
      </c>
      <c r="M26" s="54">
        <f t="shared" si="14"/>
        <v>15044657.229073834</v>
      </c>
      <c r="N26" s="63">
        <f t="shared" si="15"/>
        <v>10</v>
      </c>
      <c r="O26" s="55">
        <f t="shared" si="16"/>
        <v>1836269.2321525461</v>
      </c>
      <c r="P26" s="54">
        <f t="shared" si="26"/>
        <v>4308342.5497508682</v>
      </c>
      <c r="Q26" s="63">
        <f t="shared" si="17"/>
        <v>10</v>
      </c>
      <c r="R26" s="55">
        <f t="shared" si="18"/>
        <v>525852.91543848591</v>
      </c>
      <c r="S26" s="54">
        <f t="shared" si="27"/>
        <v>4523026.3202328086</v>
      </c>
      <c r="T26" s="63">
        <f t="shared" si="19"/>
        <v>10</v>
      </c>
      <c r="U26" s="55">
        <f t="shared" si="20"/>
        <v>552056.05163335125</v>
      </c>
      <c r="V26" s="54">
        <f t="shared" si="21"/>
        <v>9733427.8884343542</v>
      </c>
      <c r="W26" s="63">
        <f t="shared" si="22"/>
        <v>10</v>
      </c>
      <c r="X26" s="55">
        <f t="shared" si="23"/>
        <v>1188009.3964764809</v>
      </c>
      <c r="Y26" s="56">
        <f t="shared" si="2"/>
        <v>99712104.75854677</v>
      </c>
      <c r="Z26" s="63">
        <f t="shared" si="24"/>
        <v>10</v>
      </c>
      <c r="AA26" s="297">
        <f t="shared" si="3"/>
        <v>15770164.489790121</v>
      </c>
      <c r="AB26" s="111"/>
      <c r="AC26" s="54">
        <f t="shared" si="29"/>
        <v>95142543.330172539</v>
      </c>
      <c r="AD26" s="63">
        <f t="shared" si="25"/>
        <v>10</v>
      </c>
      <c r="AE26" s="55">
        <f t="shared" si="28"/>
        <v>13095564.956689177</v>
      </c>
      <c r="AM26" s="216">
        <v>500000</v>
      </c>
    </row>
    <row r="27" spans="1:39" x14ac:dyDescent="0.25">
      <c r="A27" s="49">
        <f t="shared" si="9"/>
        <v>12</v>
      </c>
      <c r="B27" s="49">
        <f t="shared" si="4"/>
        <v>2026</v>
      </c>
      <c r="C27" s="49">
        <f t="shared" si="0"/>
        <v>2029</v>
      </c>
      <c r="D27" s="54">
        <f t="shared" si="10"/>
        <v>71651315.991543382</v>
      </c>
      <c r="E27" s="63">
        <f t="shared" si="11"/>
        <v>6</v>
      </c>
      <c r="F27" s="56">
        <f t="shared" si="5"/>
        <v>13741931.593170183</v>
      </c>
      <c r="G27" s="56">
        <f t="shared" si="6"/>
        <v>-21551927.632752165</v>
      </c>
      <c r="H27" s="63">
        <f t="shared" si="7"/>
        <v>9</v>
      </c>
      <c r="I27" s="56">
        <f t="shared" si="1"/>
        <v>-2928120.634682769</v>
      </c>
      <c r="J27" s="56">
        <f t="shared" si="12"/>
        <v>8863345.2912795693</v>
      </c>
      <c r="K27" s="63">
        <f t="shared" si="13"/>
        <v>9</v>
      </c>
      <c r="L27" s="56">
        <f t="shared" si="8"/>
        <v>1204205.2424245214</v>
      </c>
      <c r="M27" s="54">
        <f t="shared" si="14"/>
        <v>14198331.571744913</v>
      </c>
      <c r="N27" s="63">
        <f t="shared" si="15"/>
        <v>9</v>
      </c>
      <c r="O27" s="55">
        <f t="shared" si="16"/>
        <v>1891357.309117123</v>
      </c>
      <c r="P27" s="54">
        <f t="shared" si="26"/>
        <v>4065980.0429222211</v>
      </c>
      <c r="Q27" s="63">
        <f t="shared" si="17"/>
        <v>9</v>
      </c>
      <c r="R27" s="55">
        <f t="shared" si="18"/>
        <v>541628.50290164072</v>
      </c>
      <c r="S27" s="54">
        <f t="shared" si="27"/>
        <v>4268586.9424987976</v>
      </c>
      <c r="T27" s="63">
        <f t="shared" si="19"/>
        <v>9</v>
      </c>
      <c r="U27" s="55">
        <f t="shared" si="20"/>
        <v>568617.73318235192</v>
      </c>
      <c r="V27" s="54">
        <f t="shared" si="21"/>
        <v>9185881.3654186223</v>
      </c>
      <c r="W27" s="63">
        <f t="shared" si="22"/>
        <v>9</v>
      </c>
      <c r="X27" s="55">
        <f t="shared" si="23"/>
        <v>1223649.6783707754</v>
      </c>
      <c r="Y27" s="56">
        <f t="shared" si="2"/>
        <v>90681513.572655365</v>
      </c>
      <c r="Z27" s="63">
        <f t="shared" si="24"/>
        <v>9</v>
      </c>
      <c r="AA27" s="297">
        <f t="shared" si="3"/>
        <v>16243269.424483826</v>
      </c>
      <c r="AB27" s="111"/>
      <c r="AC27" s="54">
        <f t="shared" si="29"/>
        <v>88256363.640804559</v>
      </c>
      <c r="AD27" s="63">
        <f t="shared" si="25"/>
        <v>9</v>
      </c>
      <c r="AE27" s="55">
        <f t="shared" si="28"/>
        <v>13095564.956689179</v>
      </c>
      <c r="AM27" s="216">
        <v>500000</v>
      </c>
    </row>
    <row r="28" spans="1:39" s="50" customFormat="1" x14ac:dyDescent="0.25">
      <c r="A28" s="49">
        <f t="shared" si="9"/>
        <v>13</v>
      </c>
      <c r="B28" s="49">
        <f t="shared" si="4"/>
        <v>2027</v>
      </c>
      <c r="C28" s="49">
        <f t="shared" si="0"/>
        <v>2030</v>
      </c>
      <c r="D28" s="54">
        <f t="shared" si="10"/>
        <v>62777226.76274839</v>
      </c>
      <c r="E28" s="63">
        <f t="shared" si="11"/>
        <v>5</v>
      </c>
      <c r="F28" s="56">
        <f t="shared" si="5"/>
        <v>14154189.540965294</v>
      </c>
      <c r="G28" s="56">
        <f t="shared" si="6"/>
        <v>-20132382.114380177</v>
      </c>
      <c r="H28" s="63">
        <f t="shared" si="7"/>
        <v>8</v>
      </c>
      <c r="I28" s="56">
        <f t="shared" si="1"/>
        <v>-3015964.2537232526</v>
      </c>
      <c r="J28" s="56">
        <f t="shared" si="12"/>
        <v>8279549.6187802423</v>
      </c>
      <c r="K28" s="63">
        <f t="shared" si="13"/>
        <v>8</v>
      </c>
      <c r="L28" s="56">
        <f t="shared" si="8"/>
        <v>1240331.399697257</v>
      </c>
      <c r="M28" s="54">
        <f t="shared" si="14"/>
        <v>13235779.568502044</v>
      </c>
      <c r="N28" s="63">
        <f t="shared" si="15"/>
        <v>8</v>
      </c>
      <c r="O28" s="55">
        <f t="shared" si="16"/>
        <v>1948098.0283906364</v>
      </c>
      <c r="P28" s="54">
        <f t="shared" si="26"/>
        <v>3790333.7660562326</v>
      </c>
      <c r="Q28" s="63">
        <f t="shared" si="17"/>
        <v>8</v>
      </c>
      <c r="R28" s="55">
        <f t="shared" si="18"/>
        <v>557877.35798868991</v>
      </c>
      <c r="S28" s="54">
        <f t="shared" si="27"/>
        <v>3979205.271718896</v>
      </c>
      <c r="T28" s="63">
        <f t="shared" si="19"/>
        <v>8</v>
      </c>
      <c r="U28" s="55">
        <f t="shared" si="20"/>
        <v>585676.26517782244</v>
      </c>
      <c r="V28" s="54">
        <f t="shared" si="21"/>
        <v>8563139.9915356059</v>
      </c>
      <c r="W28" s="63">
        <f t="shared" si="22"/>
        <v>8</v>
      </c>
      <c r="X28" s="55">
        <f t="shared" si="23"/>
        <v>1260359.1687218987</v>
      </c>
      <c r="Y28" s="56">
        <f t="shared" si="2"/>
        <v>80492852.864961222</v>
      </c>
      <c r="Z28" s="63">
        <f t="shared" si="24"/>
        <v>8</v>
      </c>
      <c r="AA28" s="297">
        <f t="shared" si="3"/>
        <v>16730567.507218346</v>
      </c>
      <c r="AB28" s="111"/>
      <c r="AC28" s="54">
        <f t="shared" si="29"/>
        <v>80888151.373180822</v>
      </c>
      <c r="AD28" s="63">
        <f t="shared" si="25"/>
        <v>8</v>
      </c>
      <c r="AE28" s="55">
        <f t="shared" si="28"/>
        <v>13095564.956689179</v>
      </c>
      <c r="AM28" s="216">
        <v>500000</v>
      </c>
    </row>
    <row r="29" spans="1:39" s="50" customFormat="1" x14ac:dyDescent="0.25">
      <c r="A29" s="49">
        <f t="shared" si="9"/>
        <v>14</v>
      </c>
      <c r="B29" s="49">
        <f t="shared" si="4"/>
        <v>2028</v>
      </c>
      <c r="C29" s="49">
        <f t="shared" si="0"/>
        <v>2031</v>
      </c>
      <c r="D29" s="54">
        <f t="shared" si="10"/>
        <v>52810142.703948945</v>
      </c>
      <c r="E29" s="63">
        <f t="shared" si="11"/>
        <v>4</v>
      </c>
      <c r="F29" s="56">
        <f t="shared" si="5"/>
        <v>14578815.22719425</v>
      </c>
      <c r="G29" s="56">
        <f t="shared" si="6"/>
        <v>-18515292.479405437</v>
      </c>
      <c r="H29" s="63">
        <f t="shared" si="7"/>
        <v>7</v>
      </c>
      <c r="I29" s="56">
        <f t="shared" si="1"/>
        <v>-3106443.1813349496</v>
      </c>
      <c r="J29" s="56">
        <f t="shared" si="12"/>
        <v>7614512.8737631077</v>
      </c>
      <c r="K29" s="63">
        <f t="shared" si="13"/>
        <v>7</v>
      </c>
      <c r="L29" s="56">
        <f t="shared" si="8"/>
        <v>1277541.3416881748</v>
      </c>
      <c r="M29" s="54">
        <f t="shared" si="14"/>
        <v>12147155.868634226</v>
      </c>
      <c r="N29" s="63">
        <f t="shared" si="15"/>
        <v>7</v>
      </c>
      <c r="O29" s="55">
        <f t="shared" si="16"/>
        <v>2006540.969242356</v>
      </c>
      <c r="P29" s="54">
        <f t="shared" si="26"/>
        <v>3478584.3034135085</v>
      </c>
      <c r="Q29" s="63">
        <f t="shared" si="17"/>
        <v>7</v>
      </c>
      <c r="R29" s="55">
        <f t="shared" si="18"/>
        <v>574613.67872835067</v>
      </c>
      <c r="S29" s="54">
        <f t="shared" si="27"/>
        <v>3651921.4012817573</v>
      </c>
      <c r="T29" s="63">
        <f t="shared" si="19"/>
        <v>7</v>
      </c>
      <c r="U29" s="55">
        <f t="shared" si="20"/>
        <v>603246.5531331572</v>
      </c>
      <c r="V29" s="54">
        <f t="shared" si="21"/>
        <v>7858834.1293969098</v>
      </c>
      <c r="W29" s="63">
        <f t="shared" si="22"/>
        <v>7</v>
      </c>
      <c r="X29" s="55">
        <f t="shared" si="23"/>
        <v>1298169.9437835556</v>
      </c>
      <c r="Y29" s="56">
        <f t="shared" si="2"/>
        <v>69045858.80103302</v>
      </c>
      <c r="Z29" s="63">
        <f t="shared" si="24"/>
        <v>7</v>
      </c>
      <c r="AA29" s="297">
        <f t="shared" si="3"/>
        <v>17232484.532434896</v>
      </c>
      <c r="AB29" s="111"/>
      <c r="AC29" s="54">
        <f t="shared" si="29"/>
        <v>73004164.24682343</v>
      </c>
      <c r="AD29" s="63">
        <f t="shared" si="25"/>
        <v>7</v>
      </c>
      <c r="AE29" s="55">
        <f t="shared" si="28"/>
        <v>13095564.956689179</v>
      </c>
      <c r="AM29" s="216">
        <v>500000</v>
      </c>
    </row>
    <row r="30" spans="1:39" s="50" customFormat="1" x14ac:dyDescent="0.25">
      <c r="A30" s="49">
        <f t="shared" si="9"/>
        <v>15</v>
      </c>
      <c r="B30" s="49">
        <f t="shared" si="4"/>
        <v>2029</v>
      </c>
      <c r="C30" s="49">
        <f t="shared" si="0"/>
        <v>2032</v>
      </c>
      <c r="D30" s="54">
        <f t="shared" si="10"/>
        <v>41655266.058759376</v>
      </c>
      <c r="E30" s="63">
        <f t="shared" si="11"/>
        <v>3</v>
      </c>
      <c r="F30" s="56">
        <f t="shared" si="5"/>
        <v>15016179.684010077</v>
      </c>
      <c r="G30" s="56">
        <f t="shared" si="6"/>
        <v>-16683110.573000994</v>
      </c>
      <c r="H30" s="63">
        <f t="shared" si="7"/>
        <v>6</v>
      </c>
      <c r="I30" s="56">
        <f t="shared" si="1"/>
        <v>-3199636.4767749966</v>
      </c>
      <c r="J30" s="56">
        <f t="shared" si="12"/>
        <v>6861018.2838769183</v>
      </c>
      <c r="K30" s="63">
        <f t="shared" si="13"/>
        <v>6</v>
      </c>
      <c r="L30" s="56">
        <f t="shared" si="8"/>
        <v>1315867.58193882</v>
      </c>
      <c r="M30" s="54">
        <f t="shared" si="14"/>
        <v>10921874.661685769</v>
      </c>
      <c r="N30" s="63">
        <f t="shared" si="15"/>
        <v>6</v>
      </c>
      <c r="O30" s="55">
        <f t="shared" si="16"/>
        <v>2066737.198319627</v>
      </c>
      <c r="P30" s="54">
        <f t="shared" si="26"/>
        <v>3127700.1935977936</v>
      </c>
      <c r="Q30" s="63">
        <f t="shared" si="17"/>
        <v>6</v>
      </c>
      <c r="R30" s="55">
        <f t="shared" si="18"/>
        <v>591852.08909020142</v>
      </c>
      <c r="S30" s="54">
        <f t="shared" si="27"/>
        <v>3283552.8127302947</v>
      </c>
      <c r="T30" s="63">
        <f t="shared" si="19"/>
        <v>6</v>
      </c>
      <c r="U30" s="55">
        <f t="shared" si="20"/>
        <v>621343.94972715224</v>
      </c>
      <c r="V30" s="54">
        <f t="shared" si="21"/>
        <v>7066115.0870621176</v>
      </c>
      <c r="W30" s="63">
        <f t="shared" si="22"/>
        <v>6</v>
      </c>
      <c r="X30" s="55">
        <f t="shared" si="23"/>
        <v>1337115.0420970626</v>
      </c>
      <c r="Y30" s="56">
        <f t="shared" si="2"/>
        <v>56232416.524711281</v>
      </c>
      <c r="Z30" s="63">
        <f t="shared" si="24"/>
        <v>6</v>
      </c>
      <c r="AA30" s="297">
        <f t="shared" si="3"/>
        <v>17749459.068407945</v>
      </c>
      <c r="AB30" s="111"/>
      <c r="AC30" s="54">
        <f t="shared" si="29"/>
        <v>64568298.021621019</v>
      </c>
      <c r="AD30" s="63">
        <f t="shared" si="25"/>
        <v>6</v>
      </c>
      <c r="AE30" s="55">
        <f t="shared" si="28"/>
        <v>13095564.956689177</v>
      </c>
      <c r="AM30" s="216">
        <v>500000</v>
      </c>
    </row>
    <row r="31" spans="1:39" s="50" customFormat="1" x14ac:dyDescent="0.25">
      <c r="A31" s="49">
        <f t="shared" si="9"/>
        <v>16</v>
      </c>
      <c r="B31" s="49">
        <f t="shared" si="4"/>
        <v>2030</v>
      </c>
      <c r="C31" s="49">
        <f t="shared" si="0"/>
        <v>2033</v>
      </c>
      <c r="D31" s="54">
        <f t="shared" si="10"/>
        <v>29210304.544741027</v>
      </c>
      <c r="E31" s="63">
        <f t="shared" si="11"/>
        <v>2</v>
      </c>
      <c r="F31" s="56">
        <f t="shared" si="5"/>
        <v>15466665.074530382</v>
      </c>
      <c r="G31" s="56">
        <f t="shared" si="6"/>
        <v>-14616890.158345427</v>
      </c>
      <c r="H31" s="63">
        <f t="shared" si="7"/>
        <v>5</v>
      </c>
      <c r="I31" s="56">
        <f t="shared" si="1"/>
        <v>-3295625.5710782488</v>
      </c>
      <c r="J31" s="56">
        <f t="shared" si="12"/>
        <v>6011274.1080867117</v>
      </c>
      <c r="K31" s="63">
        <f t="shared" si="13"/>
        <v>5</v>
      </c>
      <c r="L31" s="56">
        <f t="shared" si="8"/>
        <v>1355343.609396985</v>
      </c>
      <c r="M31" s="54">
        <f t="shared" si="14"/>
        <v>9548556.3067183346</v>
      </c>
      <c r="N31" s="63">
        <f t="shared" si="15"/>
        <v>5</v>
      </c>
      <c r="O31" s="55">
        <f t="shared" si="16"/>
        <v>2128739.3142692158</v>
      </c>
      <c r="P31" s="54">
        <f t="shared" si="26"/>
        <v>2734422.6457633385</v>
      </c>
      <c r="Q31" s="63">
        <f t="shared" si="17"/>
        <v>5</v>
      </c>
      <c r="R31" s="55">
        <f t="shared" si="18"/>
        <v>609607.65176290739</v>
      </c>
      <c r="S31" s="54">
        <f t="shared" si="27"/>
        <v>2870678.3303809934</v>
      </c>
      <c r="T31" s="63">
        <f t="shared" si="19"/>
        <v>5</v>
      </c>
      <c r="U31" s="55">
        <f t="shared" si="20"/>
        <v>639984.26821896667</v>
      </c>
      <c r="V31" s="54">
        <f t="shared" si="21"/>
        <v>6177620.5888221134</v>
      </c>
      <c r="W31" s="63">
        <f t="shared" si="22"/>
        <v>5</v>
      </c>
      <c r="X31" s="55">
        <f t="shared" si="23"/>
        <v>1377228.4933599744</v>
      </c>
      <c r="Y31" s="56">
        <f t="shared" si="2"/>
        <v>41935966.366167091</v>
      </c>
      <c r="Z31" s="63">
        <f t="shared" si="24"/>
        <v>5</v>
      </c>
      <c r="AA31" s="297">
        <f t="shared" si="3"/>
        <v>18281942.840460185</v>
      </c>
      <c r="AB31" s="111"/>
      <c r="AC31" s="54">
        <f t="shared" si="29"/>
        <v>55541921.160654441</v>
      </c>
      <c r="AD31" s="63">
        <f t="shared" si="25"/>
        <v>5</v>
      </c>
      <c r="AE31" s="55">
        <f t="shared" si="28"/>
        <v>13095564.956689183</v>
      </c>
      <c r="AM31" s="216">
        <v>500000</v>
      </c>
    </row>
    <row r="32" spans="1:39" s="50" customFormat="1" x14ac:dyDescent="0.25">
      <c r="A32" s="49">
        <f t="shared" si="9"/>
        <v>17</v>
      </c>
      <c r="B32" s="49">
        <f t="shared" si="4"/>
        <v>2031</v>
      </c>
      <c r="C32" s="49">
        <f t="shared" si="0"/>
        <v>2034</v>
      </c>
      <c r="D32" s="54">
        <f t="shared" si="10"/>
        <v>15364897.723118536</v>
      </c>
      <c r="E32" s="63">
        <f t="shared" si="11"/>
        <v>1</v>
      </c>
      <c r="F32" s="56">
        <f t="shared" si="5"/>
        <v>15930665.026766304</v>
      </c>
      <c r="G32" s="56">
        <f t="shared" si="6"/>
        <v>-12296179.60136177</v>
      </c>
      <c r="H32" s="63">
        <f t="shared" si="7"/>
        <v>4</v>
      </c>
      <c r="I32" s="56">
        <f t="shared" si="1"/>
        <v>-3394494.3382105958</v>
      </c>
      <c r="J32" s="56">
        <f t="shared" si="12"/>
        <v>5056869.502699811</v>
      </c>
      <c r="K32" s="63">
        <f t="shared" si="13"/>
        <v>4</v>
      </c>
      <c r="L32" s="56">
        <f t="shared" si="8"/>
        <v>1396003.9176788947</v>
      </c>
      <c r="M32" s="54">
        <f t="shared" si="14"/>
        <v>8014970.1794646168</v>
      </c>
      <c r="N32" s="63">
        <f t="shared" si="15"/>
        <v>4</v>
      </c>
      <c r="O32" s="55">
        <f t="shared" si="16"/>
        <v>2192601.4936972917</v>
      </c>
      <c r="P32" s="54">
        <f t="shared" si="26"/>
        <v>2295249.1727388827</v>
      </c>
      <c r="Q32" s="63">
        <f t="shared" si="17"/>
        <v>4</v>
      </c>
      <c r="R32" s="55">
        <f t="shared" si="18"/>
        <v>627895.88131579466</v>
      </c>
      <c r="S32" s="54">
        <f t="shared" si="27"/>
        <v>2409620.9388900287</v>
      </c>
      <c r="T32" s="63">
        <f t="shared" si="19"/>
        <v>4</v>
      </c>
      <c r="U32" s="55">
        <f t="shared" si="20"/>
        <v>659183.79626553564</v>
      </c>
      <c r="V32" s="54">
        <f t="shared" si="21"/>
        <v>5185437.7990752775</v>
      </c>
      <c r="W32" s="63">
        <f t="shared" si="22"/>
        <v>4</v>
      </c>
      <c r="X32" s="55">
        <f t="shared" si="23"/>
        <v>1418545.3481607735</v>
      </c>
      <c r="Y32" s="56">
        <f t="shared" si="2"/>
        <v>26030865.714625381</v>
      </c>
      <c r="Z32" s="63">
        <f t="shared" si="24"/>
        <v>4</v>
      </c>
      <c r="AA32" s="297">
        <f t="shared" si="3"/>
        <v>18830401.125673998</v>
      </c>
      <c r="AB32" s="111"/>
      <c r="AC32" s="54">
        <f t="shared" si="29"/>
        <v>45883697.91942019</v>
      </c>
      <c r="AD32" s="63">
        <f t="shared" si="25"/>
        <v>4</v>
      </c>
      <c r="AE32" s="55">
        <f t="shared" si="28"/>
        <v>13095564.956689179</v>
      </c>
      <c r="AM32" s="216">
        <v>500000</v>
      </c>
    </row>
    <row r="33" spans="1:39" s="50" customFormat="1" x14ac:dyDescent="0.25">
      <c r="A33" s="49">
        <f t="shared" si="9"/>
        <v>18</v>
      </c>
      <c r="B33" s="49">
        <f t="shared" si="4"/>
        <v>2032</v>
      </c>
      <c r="C33" s="49">
        <f t="shared" si="0"/>
        <v>2035</v>
      </c>
      <c r="D33" s="54"/>
      <c r="E33" s="63"/>
      <c r="F33" s="56"/>
      <c r="G33" s="56">
        <f t="shared" ref="G33:G35" si="30">G32*1.075-I32*1.075^0.5</f>
        <v>-9698906.4330385514</v>
      </c>
      <c r="H33" s="63">
        <f t="shared" si="7"/>
        <v>3</v>
      </c>
      <c r="I33" s="56">
        <f t="shared" ref="I33:I35" si="31">-PMT(1.075/1.03-1,H33,G33*1.075^0.5,0,1)</f>
        <v>-3496329.1683569136</v>
      </c>
      <c r="J33" s="56">
        <f t="shared" si="12"/>
        <v>3988727.0470040897</v>
      </c>
      <c r="K33" s="63">
        <f t="shared" si="13"/>
        <v>3</v>
      </c>
      <c r="L33" s="56">
        <f t="shared" si="8"/>
        <v>1437884.0352092616</v>
      </c>
      <c r="M33" s="54">
        <f t="shared" si="14"/>
        <v>6307973.4712414201</v>
      </c>
      <c r="N33" s="63">
        <f t="shared" si="15"/>
        <v>3</v>
      </c>
      <c r="O33" s="55">
        <f t="shared" si="16"/>
        <v>2258379.5385082117</v>
      </c>
      <c r="P33" s="54">
        <f t="shared" si="26"/>
        <v>1806416.0648558782</v>
      </c>
      <c r="Q33" s="63">
        <f t="shared" si="17"/>
        <v>3</v>
      </c>
      <c r="R33" s="55">
        <f t="shared" si="18"/>
        <v>646732.75775526848</v>
      </c>
      <c r="S33" s="54">
        <f t="shared" si="27"/>
        <v>1896429.3837561673</v>
      </c>
      <c r="T33" s="63">
        <f t="shared" si="19"/>
        <v>3</v>
      </c>
      <c r="U33" s="55">
        <f t="shared" si="20"/>
        <v>678959.31015350192</v>
      </c>
      <c r="V33" s="54">
        <f t="shared" si="21"/>
        <v>4081063.7271172325</v>
      </c>
      <c r="W33" s="63">
        <f t="shared" si="22"/>
        <v>3</v>
      </c>
      <c r="X33" s="55">
        <f t="shared" si="23"/>
        <v>1461101.708605597</v>
      </c>
      <c r="Y33" s="56">
        <f t="shared" si="2"/>
        <v>8381703.260936236</v>
      </c>
      <c r="Z33" s="63">
        <f t="shared" si="24"/>
        <v>3</v>
      </c>
      <c r="AA33" s="297">
        <f t="shared" si="3"/>
        <v>2986728.1818749271</v>
      </c>
      <c r="AB33" s="111"/>
      <c r="AC33" s="54">
        <f t="shared" si="29"/>
        <v>35549399.051299542</v>
      </c>
      <c r="AD33" s="63">
        <f t="shared" si="25"/>
        <v>3</v>
      </c>
      <c r="AE33" s="55">
        <f t="shared" si="28"/>
        <v>13095564.956689179</v>
      </c>
      <c r="AM33" s="216">
        <v>500000</v>
      </c>
    </row>
    <row r="34" spans="1:39" s="50" customFormat="1" x14ac:dyDescent="0.25">
      <c r="A34" s="49">
        <f t="shared" si="9"/>
        <v>19</v>
      </c>
      <c r="B34" s="49">
        <f t="shared" si="4"/>
        <v>2033</v>
      </c>
      <c r="C34" s="49">
        <f t="shared" si="0"/>
        <v>2036</v>
      </c>
      <c r="D34" s="54"/>
      <c r="E34" s="63"/>
      <c r="F34" s="56"/>
      <c r="G34" s="56">
        <f t="shared" si="30"/>
        <v>-6801253.1779383309</v>
      </c>
      <c r="H34" s="63">
        <f t="shared" si="7"/>
        <v>2</v>
      </c>
      <c r="I34" s="56">
        <f t="shared" si="31"/>
        <v>-3601219.0434076213</v>
      </c>
      <c r="J34" s="56">
        <f t="shared" si="12"/>
        <v>2797051.6770792436</v>
      </c>
      <c r="K34" s="63">
        <f t="shared" si="13"/>
        <v>2</v>
      </c>
      <c r="L34" s="56">
        <f t="shared" si="8"/>
        <v>1481020.5562655395</v>
      </c>
      <c r="M34" s="54">
        <f t="shared" si="14"/>
        <v>4413445.6548190266</v>
      </c>
      <c r="N34" s="63">
        <f t="shared" si="15"/>
        <v>2</v>
      </c>
      <c r="O34" s="55">
        <f t="shared" si="16"/>
        <v>2326130.9246634585</v>
      </c>
      <c r="P34" s="54">
        <f t="shared" si="26"/>
        <v>1263879.6229218214</v>
      </c>
      <c r="Q34" s="63">
        <f t="shared" si="17"/>
        <v>2</v>
      </c>
      <c r="R34" s="55">
        <f t="shared" si="18"/>
        <v>666134.74048792664</v>
      </c>
      <c r="S34" s="54">
        <f t="shared" si="27"/>
        <v>1326858.4691372504</v>
      </c>
      <c r="T34" s="63">
        <f t="shared" si="19"/>
        <v>2</v>
      </c>
      <c r="U34" s="55">
        <f t="shared" si="20"/>
        <v>699328.0894581069</v>
      </c>
      <c r="V34" s="54">
        <f t="shared" si="21"/>
        <v>2855362.8285853239</v>
      </c>
      <c r="W34" s="63">
        <f t="shared" si="22"/>
        <v>2</v>
      </c>
      <c r="X34" s="55">
        <f t="shared" si="23"/>
        <v>1504934.7598637647</v>
      </c>
      <c r="Y34" s="56">
        <f t="shared" si="2"/>
        <v>5855345.0746043352</v>
      </c>
      <c r="Z34" s="63">
        <f t="shared" si="24"/>
        <v>2</v>
      </c>
      <c r="AA34" s="297">
        <f t="shared" si="3"/>
        <v>3076330.0273311753</v>
      </c>
      <c r="AB34" s="111"/>
      <c r="AC34" s="54">
        <f t="shared" si="29"/>
        <v>24491699.262410451</v>
      </c>
      <c r="AD34" s="63">
        <f t="shared" si="25"/>
        <v>2</v>
      </c>
      <c r="AE34" s="55">
        <f t="shared" si="28"/>
        <v>13095564.956689183</v>
      </c>
      <c r="AM34" s="216">
        <v>500000</v>
      </c>
    </row>
    <row r="35" spans="1:39" s="50" customFormat="1" x14ac:dyDescent="0.25">
      <c r="A35" s="49">
        <f t="shared" si="9"/>
        <v>20</v>
      </c>
      <c r="B35" s="49">
        <f t="shared" si="4"/>
        <v>2034</v>
      </c>
      <c r="C35" s="49">
        <f t="shared" si="0"/>
        <v>2037</v>
      </c>
      <c r="D35" s="54"/>
      <c r="E35" s="63"/>
      <c r="F35" s="56"/>
      <c r="G35" s="56">
        <f t="shared" si="30"/>
        <v>-3577523.7915782509</v>
      </c>
      <c r="H35" s="63">
        <f t="shared" si="7"/>
        <v>1</v>
      </c>
      <c r="I35" s="56">
        <f t="shared" si="31"/>
        <v>-3709255.6147098499</v>
      </c>
      <c r="J35" s="56">
        <f t="shared" si="12"/>
        <v>1471275.7574565292</v>
      </c>
      <c r="K35" s="63">
        <f t="shared" si="13"/>
        <v>1</v>
      </c>
      <c r="L35" s="56">
        <f t="shared" si="8"/>
        <v>1525451.1729535065</v>
      </c>
      <c r="M35" s="54">
        <f t="shared" si="14"/>
        <v>2316218.3124647848</v>
      </c>
      <c r="N35" s="63">
        <f t="shared" si="15"/>
        <v>1</v>
      </c>
      <c r="O35" s="55">
        <f t="shared" si="16"/>
        <v>2395914.8524033614</v>
      </c>
      <c r="P35" s="54">
        <f t="shared" si="26"/>
        <v>663296.06305816164</v>
      </c>
      <c r="Q35" s="63">
        <f t="shared" si="17"/>
        <v>1</v>
      </c>
      <c r="R35" s="55">
        <f t="shared" si="18"/>
        <v>686118.78270256438</v>
      </c>
      <c r="S35" s="54">
        <f t="shared" si="27"/>
        <v>696347.96135055402</v>
      </c>
      <c r="T35" s="63">
        <f t="shared" si="19"/>
        <v>1</v>
      </c>
      <c r="U35" s="55">
        <f t="shared" si="20"/>
        <v>720307.93214184989</v>
      </c>
      <c r="V35" s="54">
        <f t="shared" si="21"/>
        <v>1498521.6063732787</v>
      </c>
      <c r="W35" s="63">
        <f t="shared" si="22"/>
        <v>1</v>
      </c>
      <c r="X35" s="55">
        <f t="shared" si="23"/>
        <v>1550082.8026596773</v>
      </c>
      <c r="Y35" s="56">
        <f t="shared" si="2"/>
        <v>3068135.909125057</v>
      </c>
      <c r="Z35" s="63">
        <f t="shared" si="24"/>
        <v>1</v>
      </c>
      <c r="AA35" s="297">
        <f t="shared" si="3"/>
        <v>3168619.9281511093</v>
      </c>
      <c r="AB35" s="111"/>
      <c r="AC35" s="54">
        <f t="shared" si="29"/>
        <v>12659960.488299116</v>
      </c>
      <c r="AD35" s="63">
        <f t="shared" si="25"/>
        <v>1</v>
      </c>
      <c r="AE35" s="55">
        <f t="shared" si="28"/>
        <v>13095564.956689173</v>
      </c>
      <c r="AM35" s="216">
        <v>500000</v>
      </c>
    </row>
    <row r="36" spans="1:39" s="50" customFormat="1" x14ac:dyDescent="0.25">
      <c r="A36" s="49">
        <f t="shared" si="9"/>
        <v>21</v>
      </c>
      <c r="B36" s="49">
        <f t="shared" si="4"/>
        <v>2035</v>
      </c>
      <c r="C36" s="49">
        <f t="shared" si="0"/>
        <v>2038</v>
      </c>
      <c r="D36" s="54"/>
      <c r="E36" s="63"/>
      <c r="F36" s="56"/>
      <c r="G36" s="56"/>
      <c r="H36" s="63"/>
      <c r="I36" s="56"/>
      <c r="J36" s="56"/>
      <c r="K36" s="63"/>
      <c r="L36" s="56"/>
      <c r="M36" s="54"/>
      <c r="N36" s="63"/>
      <c r="O36" s="55"/>
      <c r="P36" s="54"/>
      <c r="Q36" s="63"/>
      <c r="R36" s="55"/>
      <c r="S36" s="54"/>
      <c r="T36" s="63"/>
      <c r="U36" s="55"/>
      <c r="V36" s="54"/>
      <c r="W36" s="63"/>
      <c r="X36" s="55"/>
      <c r="Y36" s="56">
        <f t="shared" ref="Y36:Y45" si="32">D36+G36+J36+M36+P36+S36+V36</f>
        <v>0</v>
      </c>
      <c r="Z36" s="63">
        <f t="shared" si="24"/>
        <v>0</v>
      </c>
      <c r="AA36" s="297">
        <f t="shared" ref="AA36:AA45" si="33">F36+I36+L36+O36+R36+U36+X36</f>
        <v>0</v>
      </c>
      <c r="AB36" s="111"/>
      <c r="AC36" s="54"/>
      <c r="AD36" s="430"/>
      <c r="AE36" s="431"/>
      <c r="AM36" s="216">
        <v>500000</v>
      </c>
    </row>
    <row r="37" spans="1:39" s="50" customFormat="1" x14ac:dyDescent="0.25">
      <c r="A37" s="49">
        <f t="shared" si="9"/>
        <v>22</v>
      </c>
      <c r="B37" s="49">
        <f t="shared" si="4"/>
        <v>2036</v>
      </c>
      <c r="C37" s="49">
        <f t="shared" si="0"/>
        <v>2039</v>
      </c>
      <c r="D37" s="54"/>
      <c r="E37" s="63"/>
      <c r="F37" s="56"/>
      <c r="G37" s="56"/>
      <c r="H37" s="63"/>
      <c r="I37" s="56"/>
      <c r="J37" s="56"/>
      <c r="K37" s="63"/>
      <c r="L37" s="56"/>
      <c r="M37" s="54"/>
      <c r="N37" s="63"/>
      <c r="O37" s="55"/>
      <c r="P37" s="54"/>
      <c r="Q37" s="63"/>
      <c r="R37" s="55"/>
      <c r="S37" s="54"/>
      <c r="T37" s="63"/>
      <c r="U37" s="55"/>
      <c r="V37" s="54"/>
      <c r="W37" s="63"/>
      <c r="X37" s="55"/>
      <c r="Y37" s="56">
        <f t="shared" si="32"/>
        <v>0</v>
      </c>
      <c r="Z37" s="63">
        <f t="shared" si="24"/>
        <v>-1</v>
      </c>
      <c r="AA37" s="297">
        <f t="shared" si="33"/>
        <v>0</v>
      </c>
      <c r="AB37" s="111"/>
      <c r="AC37" s="54"/>
      <c r="AD37" s="430"/>
      <c r="AE37" s="431"/>
      <c r="AM37" s="216">
        <v>500000</v>
      </c>
    </row>
    <row r="38" spans="1:39" s="50" customFormat="1" x14ac:dyDescent="0.25">
      <c r="A38" s="49">
        <f t="shared" si="9"/>
        <v>23</v>
      </c>
      <c r="B38" s="49">
        <f t="shared" si="4"/>
        <v>2037</v>
      </c>
      <c r="C38" s="49">
        <f t="shared" si="0"/>
        <v>2040</v>
      </c>
      <c r="D38" s="54"/>
      <c r="E38" s="63"/>
      <c r="F38" s="56"/>
      <c r="G38" s="56"/>
      <c r="H38" s="63"/>
      <c r="I38" s="56"/>
      <c r="J38" s="56"/>
      <c r="K38" s="63"/>
      <c r="L38" s="56"/>
      <c r="M38" s="54"/>
      <c r="N38" s="63"/>
      <c r="O38" s="55"/>
      <c r="P38" s="54"/>
      <c r="Q38" s="63"/>
      <c r="R38" s="55"/>
      <c r="S38" s="54"/>
      <c r="T38" s="63"/>
      <c r="U38" s="55"/>
      <c r="V38" s="54"/>
      <c r="W38" s="63"/>
      <c r="X38" s="55"/>
      <c r="Y38" s="56">
        <f t="shared" si="32"/>
        <v>0</v>
      </c>
      <c r="Z38" s="63">
        <f t="shared" si="24"/>
        <v>-2</v>
      </c>
      <c r="AA38" s="297">
        <f t="shared" si="33"/>
        <v>0</v>
      </c>
      <c r="AB38" s="111"/>
      <c r="AC38" s="54"/>
      <c r="AD38" s="430"/>
      <c r="AE38" s="431"/>
      <c r="AM38" s="216">
        <v>500000</v>
      </c>
    </row>
    <row r="39" spans="1:39" s="50" customFormat="1" x14ac:dyDescent="0.25">
      <c r="A39" s="49">
        <f t="shared" si="9"/>
        <v>24</v>
      </c>
      <c r="B39" s="49">
        <f t="shared" si="4"/>
        <v>2038</v>
      </c>
      <c r="C39" s="49">
        <f t="shared" si="0"/>
        <v>2041</v>
      </c>
      <c r="D39" s="54"/>
      <c r="E39" s="63"/>
      <c r="F39" s="56"/>
      <c r="G39" s="56"/>
      <c r="H39" s="63"/>
      <c r="I39" s="56"/>
      <c r="J39" s="56"/>
      <c r="K39" s="63"/>
      <c r="L39" s="56"/>
      <c r="M39" s="54"/>
      <c r="N39" s="63"/>
      <c r="O39" s="55"/>
      <c r="P39" s="54"/>
      <c r="Q39" s="63"/>
      <c r="R39" s="55"/>
      <c r="S39" s="54"/>
      <c r="T39" s="63"/>
      <c r="U39" s="55"/>
      <c r="V39" s="54"/>
      <c r="W39" s="63"/>
      <c r="X39" s="55"/>
      <c r="Y39" s="56">
        <f t="shared" si="32"/>
        <v>0</v>
      </c>
      <c r="Z39" s="63">
        <f t="shared" si="24"/>
        <v>-3</v>
      </c>
      <c r="AA39" s="297">
        <f t="shared" si="33"/>
        <v>0</v>
      </c>
      <c r="AB39" s="111"/>
      <c r="AC39" s="54"/>
      <c r="AD39" s="430"/>
      <c r="AE39" s="431"/>
      <c r="AM39" s="216">
        <v>500000</v>
      </c>
    </row>
    <row r="40" spans="1:39" s="50" customFormat="1" x14ac:dyDescent="0.25">
      <c r="A40" s="49">
        <f t="shared" si="9"/>
        <v>25</v>
      </c>
      <c r="B40" s="49">
        <f t="shared" si="4"/>
        <v>2039</v>
      </c>
      <c r="C40" s="49">
        <f t="shared" si="0"/>
        <v>2042</v>
      </c>
      <c r="D40" s="54"/>
      <c r="E40" s="63"/>
      <c r="F40" s="56"/>
      <c r="G40" s="56"/>
      <c r="H40" s="63"/>
      <c r="I40" s="56"/>
      <c r="J40" s="56"/>
      <c r="K40" s="63"/>
      <c r="L40" s="56"/>
      <c r="M40" s="54"/>
      <c r="N40" s="63"/>
      <c r="O40" s="55"/>
      <c r="P40" s="54"/>
      <c r="Q40" s="63"/>
      <c r="R40" s="55"/>
      <c r="S40" s="54"/>
      <c r="T40" s="63"/>
      <c r="U40" s="55"/>
      <c r="V40" s="54"/>
      <c r="W40" s="63"/>
      <c r="X40" s="55"/>
      <c r="Y40" s="56">
        <f t="shared" si="32"/>
        <v>0</v>
      </c>
      <c r="Z40" s="63">
        <f t="shared" si="24"/>
        <v>-4</v>
      </c>
      <c r="AA40" s="297">
        <f t="shared" si="33"/>
        <v>0</v>
      </c>
      <c r="AB40" s="111"/>
      <c r="AC40" s="54"/>
      <c r="AD40" s="430"/>
      <c r="AE40" s="431"/>
      <c r="AM40" s="216">
        <v>500000</v>
      </c>
    </row>
    <row r="41" spans="1:39" s="50" customFormat="1" x14ac:dyDescent="0.25">
      <c r="A41" s="49">
        <f t="shared" si="9"/>
        <v>26</v>
      </c>
      <c r="B41" s="49">
        <f t="shared" si="4"/>
        <v>2040</v>
      </c>
      <c r="C41" s="49">
        <f t="shared" si="0"/>
        <v>2043</v>
      </c>
      <c r="D41" s="54"/>
      <c r="E41" s="63"/>
      <c r="F41" s="56"/>
      <c r="G41" s="56"/>
      <c r="H41" s="63"/>
      <c r="I41" s="56"/>
      <c r="J41" s="56"/>
      <c r="K41" s="63"/>
      <c r="L41" s="56"/>
      <c r="M41" s="54"/>
      <c r="N41" s="63"/>
      <c r="O41" s="55"/>
      <c r="P41" s="54"/>
      <c r="Q41" s="63"/>
      <c r="R41" s="55"/>
      <c r="S41" s="54"/>
      <c r="T41" s="63"/>
      <c r="U41" s="55"/>
      <c r="V41" s="54"/>
      <c r="W41" s="63"/>
      <c r="X41" s="55"/>
      <c r="Y41" s="56">
        <f t="shared" si="32"/>
        <v>0</v>
      </c>
      <c r="Z41" s="63">
        <f t="shared" si="24"/>
        <v>-5</v>
      </c>
      <c r="AA41" s="297">
        <f t="shared" si="33"/>
        <v>0</v>
      </c>
      <c r="AB41" s="111"/>
      <c r="AC41" s="54"/>
      <c r="AD41" s="430"/>
      <c r="AE41" s="431"/>
      <c r="AM41" s="216">
        <v>500000</v>
      </c>
    </row>
    <row r="42" spans="1:39" s="50" customFormat="1" x14ac:dyDescent="0.25">
      <c r="A42" s="49">
        <f t="shared" si="9"/>
        <v>27</v>
      </c>
      <c r="B42" s="49">
        <f t="shared" si="4"/>
        <v>2041</v>
      </c>
      <c r="C42" s="49">
        <f t="shared" si="0"/>
        <v>2044</v>
      </c>
      <c r="D42" s="54"/>
      <c r="E42" s="63"/>
      <c r="F42" s="56"/>
      <c r="G42" s="56"/>
      <c r="H42" s="63"/>
      <c r="I42" s="56"/>
      <c r="J42" s="56"/>
      <c r="K42" s="63"/>
      <c r="L42" s="56"/>
      <c r="M42" s="54"/>
      <c r="N42" s="63"/>
      <c r="O42" s="55"/>
      <c r="P42" s="54"/>
      <c r="Q42" s="63"/>
      <c r="R42" s="55"/>
      <c r="S42" s="54"/>
      <c r="T42" s="63"/>
      <c r="U42" s="55"/>
      <c r="V42" s="54"/>
      <c r="W42" s="63"/>
      <c r="X42" s="55"/>
      <c r="Y42" s="56">
        <f t="shared" si="32"/>
        <v>0</v>
      </c>
      <c r="Z42" s="63">
        <f t="shared" si="24"/>
        <v>-6</v>
      </c>
      <c r="AA42" s="297">
        <f t="shared" si="33"/>
        <v>0</v>
      </c>
      <c r="AB42" s="111"/>
      <c r="AC42" s="54"/>
      <c r="AD42" s="430"/>
      <c r="AE42" s="431"/>
      <c r="AM42" s="216">
        <v>500000</v>
      </c>
    </row>
    <row r="43" spans="1:39" s="50" customFormat="1" x14ac:dyDescent="0.25">
      <c r="A43" s="49">
        <f t="shared" si="9"/>
        <v>28</v>
      </c>
      <c r="B43" s="49">
        <f t="shared" si="4"/>
        <v>2042</v>
      </c>
      <c r="C43" s="49">
        <f t="shared" si="0"/>
        <v>2045</v>
      </c>
      <c r="D43" s="54"/>
      <c r="E43" s="63"/>
      <c r="F43" s="56"/>
      <c r="G43" s="56"/>
      <c r="H43" s="63"/>
      <c r="I43" s="56"/>
      <c r="J43" s="56"/>
      <c r="K43" s="63"/>
      <c r="L43" s="56"/>
      <c r="M43" s="54"/>
      <c r="N43" s="63"/>
      <c r="O43" s="55"/>
      <c r="P43" s="54"/>
      <c r="Q43" s="63"/>
      <c r="R43" s="55"/>
      <c r="S43" s="54"/>
      <c r="T43" s="63"/>
      <c r="U43" s="55"/>
      <c r="V43" s="54"/>
      <c r="W43" s="63"/>
      <c r="X43" s="55"/>
      <c r="Y43" s="56">
        <f t="shared" si="32"/>
        <v>0</v>
      </c>
      <c r="Z43" s="63">
        <f t="shared" si="24"/>
        <v>-7</v>
      </c>
      <c r="AA43" s="297">
        <f t="shared" si="33"/>
        <v>0</v>
      </c>
      <c r="AB43" s="111"/>
      <c r="AC43" s="54"/>
      <c r="AD43" s="430"/>
      <c r="AE43" s="431"/>
      <c r="AM43" s="216">
        <v>500000</v>
      </c>
    </row>
    <row r="44" spans="1:39" x14ac:dyDescent="0.25">
      <c r="A44" s="49">
        <f t="shared" si="9"/>
        <v>29</v>
      </c>
      <c r="B44" s="49">
        <f t="shared" si="4"/>
        <v>2043</v>
      </c>
      <c r="C44" s="49">
        <f t="shared" si="0"/>
        <v>2046</v>
      </c>
      <c r="D44" s="54"/>
      <c r="E44" s="63"/>
      <c r="F44" s="56"/>
      <c r="G44" s="56"/>
      <c r="H44" s="63"/>
      <c r="I44" s="56"/>
      <c r="J44" s="56"/>
      <c r="K44" s="63"/>
      <c r="L44" s="56"/>
      <c r="M44" s="54"/>
      <c r="N44" s="63"/>
      <c r="O44" s="55"/>
      <c r="P44" s="54"/>
      <c r="Q44" s="63"/>
      <c r="R44" s="55"/>
      <c r="S44" s="54"/>
      <c r="T44" s="63"/>
      <c r="U44" s="55"/>
      <c r="V44" s="54"/>
      <c r="W44" s="63"/>
      <c r="X44" s="55"/>
      <c r="Y44" s="56">
        <f t="shared" si="32"/>
        <v>0</v>
      </c>
      <c r="Z44" s="63">
        <f t="shared" si="24"/>
        <v>-8</v>
      </c>
      <c r="AA44" s="297">
        <f t="shared" si="33"/>
        <v>0</v>
      </c>
      <c r="AB44" s="111"/>
      <c r="AC44" s="54"/>
      <c r="AD44" s="430"/>
      <c r="AE44" s="431"/>
      <c r="AM44" s="216">
        <v>500000</v>
      </c>
    </row>
    <row r="45" spans="1:39" x14ac:dyDescent="0.25">
      <c r="A45" s="49">
        <f t="shared" si="9"/>
        <v>30</v>
      </c>
      <c r="B45" s="49">
        <f t="shared" si="4"/>
        <v>2044</v>
      </c>
      <c r="C45" s="49">
        <f t="shared" si="0"/>
        <v>2047</v>
      </c>
      <c r="D45" s="54"/>
      <c r="E45" s="63"/>
      <c r="F45" s="56"/>
      <c r="G45" s="56"/>
      <c r="H45" s="63"/>
      <c r="I45" s="56"/>
      <c r="J45" s="56"/>
      <c r="K45" s="63"/>
      <c r="L45" s="56"/>
      <c r="M45" s="54"/>
      <c r="N45" s="63"/>
      <c r="O45" s="55"/>
      <c r="P45" s="54"/>
      <c r="Q45" s="63"/>
      <c r="R45" s="55"/>
      <c r="S45" s="54"/>
      <c r="T45" s="63"/>
      <c r="U45" s="55"/>
      <c r="V45" s="54"/>
      <c r="W45" s="63"/>
      <c r="X45" s="55"/>
      <c r="Y45" s="56">
        <f t="shared" si="32"/>
        <v>0</v>
      </c>
      <c r="Z45" s="63">
        <f t="shared" si="24"/>
        <v>-9</v>
      </c>
      <c r="AA45" s="297">
        <f t="shared" si="33"/>
        <v>0</v>
      </c>
      <c r="AB45" s="111"/>
      <c r="AC45" s="54"/>
      <c r="AD45" s="430"/>
      <c r="AE45" s="431"/>
      <c r="AM45" s="216">
        <v>500000</v>
      </c>
    </row>
    <row r="46" spans="1:39" x14ac:dyDescent="0.25">
      <c r="C46" s="56"/>
      <c r="D46" s="57"/>
      <c r="E46" s="68"/>
      <c r="F46" s="59"/>
      <c r="G46" s="57"/>
      <c r="H46" s="68"/>
      <c r="I46" s="58"/>
      <c r="J46" s="61"/>
      <c r="K46" s="61"/>
      <c r="L46" s="61"/>
      <c r="M46" s="60"/>
      <c r="N46" s="61"/>
      <c r="O46" s="62"/>
      <c r="P46" s="60"/>
      <c r="Q46" s="61"/>
      <c r="R46" s="62"/>
      <c r="S46" s="60"/>
      <c r="T46" s="61"/>
      <c r="U46" s="62"/>
      <c r="V46" s="60"/>
      <c r="W46" s="61"/>
      <c r="X46" s="62"/>
      <c r="Y46" s="67"/>
      <c r="Z46" s="67"/>
      <c r="AA46" s="298"/>
      <c r="AB46" s="52"/>
      <c r="AC46" s="66"/>
      <c r="AD46" s="67"/>
      <c r="AE46" s="298"/>
    </row>
    <row r="47" spans="1:39" x14ac:dyDescent="0.25">
      <c r="C47" s="47"/>
      <c r="Y47" s="49" t="s">
        <v>81</v>
      </c>
      <c r="AA47" s="47">
        <f>SUM(AA16:AA46)</f>
        <v>264592668.99305567</v>
      </c>
      <c r="AC47" s="49" t="s">
        <v>81</v>
      </c>
      <c r="AE47" s="47">
        <f>SUM(AE16:AE46)</f>
        <v>263035119.6115084</v>
      </c>
    </row>
    <row r="48" spans="1:39" x14ac:dyDescent="0.25">
      <c r="B48" s="215">
        <v>0</v>
      </c>
      <c r="C48" s="52"/>
      <c r="D48" s="56"/>
      <c r="E48" s="49" t="s">
        <v>152</v>
      </c>
      <c r="Y48" s="49" t="s">
        <v>86</v>
      </c>
      <c r="AA48" s="48">
        <f>NPV(0.03,AA16:AA45)</f>
        <v>198939104.25441974</v>
      </c>
      <c r="AB48" s="48"/>
      <c r="AC48" s="49" t="s">
        <v>86</v>
      </c>
      <c r="AE48" s="48">
        <f>NPV(0.03,AE16:AE45)</f>
        <v>195895837.67691296</v>
      </c>
    </row>
    <row r="49" spans="2:31" x14ac:dyDescent="0.25">
      <c r="B49" s="215">
        <v>-1</v>
      </c>
      <c r="C49" s="52"/>
      <c r="D49" s="274"/>
      <c r="E49" s="49" t="s">
        <v>153</v>
      </c>
    </row>
    <row r="50" spans="2:31" x14ac:dyDescent="0.25">
      <c r="B50" s="215">
        <v>1</v>
      </c>
      <c r="C50" s="52"/>
      <c r="D50" s="56"/>
      <c r="E50" s="49" t="s">
        <v>154</v>
      </c>
      <c r="AB50" s="73"/>
      <c r="AC50" s="49"/>
      <c r="AD50" s="106" t="s">
        <v>228</v>
      </c>
      <c r="AE50" s="47">
        <f>AA47-AE47</f>
        <v>1557549.3815472722</v>
      </c>
    </row>
    <row r="51" spans="2:31" x14ac:dyDescent="0.25">
      <c r="AB51" s="73"/>
      <c r="AC51" s="49"/>
      <c r="AD51" s="106" t="s">
        <v>227</v>
      </c>
      <c r="AE51" s="47">
        <f>AA48-AE48</f>
        <v>3043266.5775067806</v>
      </c>
    </row>
  </sheetData>
  <mergeCells count="12">
    <mergeCell ref="AD5:AI5"/>
    <mergeCell ref="Y11:AA11"/>
    <mergeCell ref="D12:F12"/>
    <mergeCell ref="G12:I12"/>
    <mergeCell ref="J12:L12"/>
    <mergeCell ref="M12:O12"/>
    <mergeCell ref="Y12:AA12"/>
    <mergeCell ref="P12:R12"/>
    <mergeCell ref="S12:U12"/>
    <mergeCell ref="V12:X12"/>
    <mergeCell ref="AC11:AE11"/>
    <mergeCell ref="AC12:AE12"/>
  </mergeCells>
  <conditionalFormatting sqref="D17">
    <cfRule type="cellIs" dxfId="335" priority="106" operator="greaterThanOrEqual">
      <formula>D16</formula>
    </cfRule>
    <cfRule type="cellIs" dxfId="334" priority="107" operator="greaterThan">
      <formula>D$16</formula>
    </cfRule>
    <cfRule type="cellIs" dxfId="333" priority="108" operator="lessThanOrEqual">
      <formula>D$16</formula>
    </cfRule>
  </conditionalFormatting>
  <conditionalFormatting sqref="D18:D32">
    <cfRule type="cellIs" dxfId="332" priority="103" operator="greaterThanOrEqual">
      <formula>D17</formula>
    </cfRule>
    <cfRule type="cellIs" dxfId="331" priority="104" operator="greaterThan">
      <formula>D$16</formula>
    </cfRule>
    <cfRule type="cellIs" dxfId="330" priority="105" operator="lessThanOrEqual">
      <formula>D$16</formula>
    </cfRule>
  </conditionalFormatting>
  <conditionalFormatting sqref="D48">
    <cfRule type="cellIs" dxfId="329" priority="97" operator="greaterThanOrEqual">
      <formula>B48</formula>
    </cfRule>
    <cfRule type="cellIs" dxfId="328" priority="98" operator="greaterThan">
      <formula>B49</formula>
    </cfRule>
    <cfRule type="cellIs" dxfId="327" priority="99" operator="lessThanOrEqual">
      <formula>51</formula>
    </cfRule>
  </conditionalFormatting>
  <conditionalFormatting sqref="Y18:Y45">
    <cfRule type="cellIs" dxfId="326" priority="85" operator="greaterThanOrEqual">
      <formula>Y17</formula>
    </cfRule>
    <cfRule type="cellIs" dxfId="325" priority="86" operator="greaterThan">
      <formula>Y$16</formula>
    </cfRule>
    <cfRule type="cellIs" dxfId="324" priority="87" operator="lessThanOrEqual">
      <formula>Y$16</formula>
    </cfRule>
  </conditionalFormatting>
  <conditionalFormatting sqref="M17:M35">
    <cfRule type="cellIs" dxfId="323" priority="82" operator="greaterThanOrEqual">
      <formula>M16</formula>
    </cfRule>
    <cfRule type="cellIs" dxfId="322" priority="83" operator="greaterThan">
      <formula>M$16</formula>
    </cfRule>
    <cfRule type="cellIs" dxfId="321" priority="84" operator="lessThanOrEqual">
      <formula>M$16</formula>
    </cfRule>
  </conditionalFormatting>
  <conditionalFormatting sqref="Y17">
    <cfRule type="cellIs" dxfId="320" priority="88" operator="greaterThanOrEqual">
      <formula>Y16</formula>
    </cfRule>
    <cfRule type="cellIs" dxfId="319" priority="89" operator="greaterThan">
      <formula>Y$16</formula>
    </cfRule>
    <cfRule type="cellIs" dxfId="318" priority="90" operator="lessThanOrEqual">
      <formula>Y$16</formula>
    </cfRule>
  </conditionalFormatting>
  <conditionalFormatting sqref="J18:J35">
    <cfRule type="cellIs" dxfId="317" priority="73" operator="greaterThanOrEqual">
      <formula>J17</formula>
    </cfRule>
    <cfRule type="cellIs" dxfId="316" priority="74" operator="greaterThan">
      <formula>J$16</formula>
    </cfRule>
    <cfRule type="cellIs" dxfId="315" priority="75" operator="lessThanOrEqual">
      <formula>J$16</formula>
    </cfRule>
  </conditionalFormatting>
  <conditionalFormatting sqref="J17">
    <cfRule type="cellIs" dxfId="314" priority="76" operator="greaterThanOrEqual">
      <formula>J16</formula>
    </cfRule>
    <cfRule type="cellIs" dxfId="313" priority="77" operator="greaterThan">
      <formula>J$16</formula>
    </cfRule>
    <cfRule type="cellIs" dxfId="312" priority="78" operator="lessThanOrEqual">
      <formula>J$16</formula>
    </cfRule>
  </conditionalFormatting>
  <conditionalFormatting sqref="D50">
    <cfRule type="cellIs" dxfId="311" priority="133" operator="greaterThanOrEqual">
      <formula>B50</formula>
    </cfRule>
    <cfRule type="cellIs" dxfId="310" priority="134" operator="greaterThan">
      <formula>D48</formula>
    </cfRule>
    <cfRule type="cellIs" dxfId="309" priority="135" operator="lessThanOrEqual">
      <formula>51</formula>
    </cfRule>
  </conditionalFormatting>
  <conditionalFormatting sqref="S17:S35">
    <cfRule type="cellIs" dxfId="308" priority="31" operator="greaterThanOrEqual">
      <formula>S16</formula>
    </cfRule>
    <cfRule type="cellIs" dxfId="307" priority="32" operator="greaterThan">
      <formula>S$16</formula>
    </cfRule>
    <cfRule type="cellIs" dxfId="306" priority="33" operator="lessThanOrEqual">
      <formula>S$16</formula>
    </cfRule>
  </conditionalFormatting>
  <conditionalFormatting sqref="P17:P35">
    <cfRule type="cellIs" dxfId="305" priority="37" operator="greaterThanOrEqual">
      <formula>P16</formula>
    </cfRule>
    <cfRule type="cellIs" dxfId="304" priority="38" operator="greaterThan">
      <formula>P$16</formula>
    </cfRule>
    <cfRule type="cellIs" dxfId="303" priority="39" operator="lessThanOrEqual">
      <formula>P$16</formula>
    </cfRule>
  </conditionalFormatting>
  <conditionalFormatting sqref="V17:V35">
    <cfRule type="cellIs" dxfId="302" priority="28" operator="greaterThanOrEqual">
      <formula>V16</formula>
    </cfRule>
    <cfRule type="cellIs" dxfId="301" priority="29" operator="greaterThan">
      <formula>V$16</formula>
    </cfRule>
    <cfRule type="cellIs" dxfId="300" priority="30" operator="lessThanOrEqual">
      <formula>V$16</formula>
    </cfRule>
  </conditionalFormatting>
  <conditionalFormatting sqref="G17:G45">
    <cfRule type="cellIs" dxfId="299" priority="22" operator="greaterThanOrEqual">
      <formula>G16</formula>
    </cfRule>
    <cfRule type="cellIs" dxfId="298" priority="23" operator="greaterThan">
      <formula>G$16</formula>
    </cfRule>
    <cfRule type="cellIs" dxfId="297" priority="24" operator="lessThanOrEqual">
      <formula>G$16</formula>
    </cfRule>
  </conditionalFormatting>
  <conditionalFormatting sqref="G16">
    <cfRule type="cellIs" dxfId="296" priority="25" operator="greaterThanOrEqual">
      <formula>G15</formula>
    </cfRule>
    <cfRule type="cellIs" dxfId="295" priority="26" operator="greaterThan">
      <formula>G$16</formula>
    </cfRule>
    <cfRule type="cellIs" dxfId="294" priority="27" operator="lessThanOrEqual">
      <formula>G$16</formula>
    </cfRule>
  </conditionalFormatting>
  <conditionalFormatting sqref="AC18:AC35">
    <cfRule type="cellIs" dxfId="293" priority="1" operator="greaterThanOrEqual">
      <formula>AC17</formula>
    </cfRule>
    <cfRule type="cellIs" dxfId="292" priority="2" operator="greaterThan">
      <formula>AC$16</formula>
    </cfRule>
    <cfRule type="cellIs" dxfId="291" priority="3" operator="lessThanOrEqual">
      <formula>AC$16</formula>
    </cfRule>
  </conditionalFormatting>
  <conditionalFormatting sqref="AC17">
    <cfRule type="cellIs" dxfId="290" priority="4" operator="greaterThanOrEqual">
      <formula>AC16</formula>
    </cfRule>
    <cfRule type="cellIs" dxfId="289" priority="5" operator="greaterThan">
      <formula>AC$16</formula>
    </cfRule>
    <cfRule type="cellIs" dxfId="288" priority="6" operator="lessThanOrEqual">
      <formula>AC$16</formula>
    </cfRule>
  </conditionalFormatting>
  <conditionalFormatting sqref="AB14:AB45">
    <cfRule type="iconSet" priority="148">
      <iconSet>
        <cfvo type="percent" val="0"/>
        <cfvo type="num" val="0.7"/>
        <cfvo type="num" val="0.8"/>
      </iconSet>
    </cfRule>
  </conditionalFormatting>
  <pageMargins left="0.25" right="0.25" top="0.25" bottom="0.25" header="0.3" footer="0.3"/>
  <pageSetup scale="46" orientation="landscape" r:id="rId1"/>
  <headerFooter differentFirst="1">
    <oddFooter>&amp;R&amp;P</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AO51"/>
  <sheetViews>
    <sheetView showGridLines="0" zoomScaleNormal="100" workbookViewId="0">
      <selection activeCell="D3" sqref="D3"/>
    </sheetView>
  </sheetViews>
  <sheetFormatPr defaultColWidth="9.140625" defaultRowHeight="15" x14ac:dyDescent="0.25"/>
  <cols>
    <col min="1" max="1" width="3.5703125" style="49" customWidth="1"/>
    <col min="2" max="3" width="5" style="49" bestFit="1" customWidth="1"/>
    <col min="4" max="4" width="14.7109375" style="49" customWidth="1"/>
    <col min="5" max="5" width="6.28515625" style="49" customWidth="1"/>
    <col min="6" max="6" width="12.28515625" style="49" customWidth="1"/>
    <col min="7" max="7" width="13" style="49" customWidth="1"/>
    <col min="8" max="8" width="9.5703125" style="49" customWidth="1"/>
    <col min="9" max="9" width="11.85546875" style="49" customWidth="1"/>
    <col min="10" max="10" width="14.85546875" style="49" customWidth="1"/>
    <col min="11" max="11" width="9.140625" style="49" customWidth="1"/>
    <col min="12" max="12" width="11.85546875" style="49" customWidth="1"/>
    <col min="13" max="13" width="12.28515625" style="49" customWidth="1"/>
    <col min="14" max="14" width="9.140625" style="49" bestFit="1" customWidth="1"/>
    <col min="15" max="15" width="11.28515625" style="49" customWidth="1"/>
    <col min="16" max="16" width="12.28515625" style="49" customWidth="1"/>
    <col min="17" max="17" width="9.140625" style="49" bestFit="1" customWidth="1"/>
    <col min="18" max="18" width="11.28515625" style="49" customWidth="1"/>
    <col min="19" max="19" width="12.28515625" style="49" customWidth="1"/>
    <col min="20" max="20" width="9.140625" style="49" bestFit="1" customWidth="1"/>
    <col min="21" max="21" width="11.28515625" style="49" customWidth="1"/>
    <col min="22" max="22" width="12.28515625" style="49" customWidth="1"/>
    <col min="23" max="23" width="9.140625" style="49" bestFit="1" customWidth="1"/>
    <col min="24" max="24" width="11.28515625" style="49" customWidth="1"/>
    <col min="25" max="25" width="12.28515625" style="49" customWidth="1"/>
    <col min="26" max="26" width="9.140625" style="49" bestFit="1" customWidth="1"/>
    <col min="27" max="27" width="11.28515625" style="49" customWidth="1"/>
    <col min="28" max="28" width="15.140625" style="49" bestFit="1" customWidth="1"/>
    <col min="29" max="29" width="7" style="49" customWidth="1"/>
    <col min="30" max="30" width="13.7109375" style="49" bestFit="1" customWidth="1"/>
    <col min="31" max="31" width="4.28515625" style="73" customWidth="1"/>
    <col min="32" max="32" width="13.42578125" style="49" bestFit="1" customWidth="1"/>
    <col min="33" max="33" width="4.85546875" style="49" bestFit="1" customWidth="1"/>
    <col min="34" max="34" width="13.7109375" style="49" bestFit="1" customWidth="1"/>
    <col min="35" max="37" width="9.140625" style="49"/>
    <col min="38" max="38" width="4.85546875" style="49" customWidth="1"/>
    <col min="39" max="40" width="9.140625" style="49"/>
    <col min="41" max="41" width="12.5703125" style="215" bestFit="1" customWidth="1"/>
    <col min="42" max="16384" width="9.140625" style="49"/>
  </cols>
  <sheetData>
    <row r="1" spans="1:41" ht="11.25" customHeight="1" x14ac:dyDescent="0.25"/>
    <row r="2" spans="1:41" ht="26.25" x14ac:dyDescent="0.4">
      <c r="D2" s="214" t="s">
        <v>149</v>
      </c>
      <c r="M2" s="424"/>
      <c r="N2" s="425"/>
    </row>
    <row r="3" spans="1:41" ht="26.25" x14ac:dyDescent="0.4">
      <c r="D3" s="214" t="s">
        <v>257</v>
      </c>
      <c r="M3" s="424"/>
      <c r="N3" s="425"/>
      <c r="AF3" s="214" t="s">
        <v>259</v>
      </c>
    </row>
    <row r="4" spans="1:41" x14ac:dyDescent="0.25">
      <c r="M4" s="349"/>
      <c r="N4" s="426"/>
    </row>
    <row r="5" spans="1:41" x14ac:dyDescent="0.25">
      <c r="M5" s="349"/>
      <c r="N5" s="426"/>
      <c r="AF5" s="540" t="s">
        <v>258</v>
      </c>
      <c r="AG5" s="540"/>
      <c r="AH5" s="540"/>
      <c r="AI5" s="540"/>
      <c r="AJ5" s="540"/>
      <c r="AK5" s="540"/>
    </row>
    <row r="6" spans="1:41" x14ac:dyDescent="0.25">
      <c r="M6" s="349"/>
      <c r="N6" s="427"/>
    </row>
    <row r="7" spans="1:41" x14ac:dyDescent="0.25">
      <c r="M7" s="349"/>
      <c r="N7" s="428"/>
    </row>
    <row r="8" spans="1:41" x14ac:dyDescent="0.25">
      <c r="M8" s="349"/>
      <c r="N8" s="428"/>
    </row>
    <row r="10" spans="1:41" x14ac:dyDescent="0.25">
      <c r="C10" s="422"/>
      <c r="D10" s="408" t="s">
        <v>159</v>
      </c>
      <c r="E10" s="409"/>
      <c r="F10" s="409"/>
      <c r="G10" s="409"/>
      <c r="H10" s="409"/>
      <c r="I10" s="409"/>
      <c r="J10" s="409"/>
      <c r="K10" s="409"/>
      <c r="L10" s="409"/>
      <c r="M10" s="409"/>
      <c r="N10" s="409"/>
      <c r="O10" s="409"/>
      <c r="P10" s="409"/>
      <c r="Q10" s="409"/>
      <c r="R10" s="409"/>
      <c r="S10" s="409"/>
      <c r="T10" s="409"/>
      <c r="U10" s="409"/>
      <c r="V10" s="409"/>
      <c r="W10" s="409"/>
      <c r="X10" s="409"/>
      <c r="Y10" s="409"/>
      <c r="Z10" s="409"/>
      <c r="AA10" s="409"/>
      <c r="AB10" s="409"/>
      <c r="AC10" s="409"/>
      <c r="AD10" s="410"/>
      <c r="AF10" s="408"/>
      <c r="AG10" s="409"/>
      <c r="AH10" s="410"/>
    </row>
    <row r="11" spans="1:41" x14ac:dyDescent="0.25">
      <c r="D11" s="288"/>
      <c r="E11" s="289" t="s">
        <v>155</v>
      </c>
      <c r="F11" s="290"/>
      <c r="G11" s="30"/>
      <c r="H11" s="254" t="s">
        <v>156</v>
      </c>
      <c r="I11" s="254"/>
      <c r="J11" s="207"/>
      <c r="K11" s="208" t="s">
        <v>157</v>
      </c>
      <c r="L11" s="208"/>
      <c r="M11" s="304"/>
      <c r="N11" s="305" t="s">
        <v>158</v>
      </c>
      <c r="O11" s="305"/>
      <c r="P11" s="304"/>
      <c r="Q11" s="305" t="s">
        <v>213</v>
      </c>
      <c r="R11" s="305"/>
      <c r="S11" s="304"/>
      <c r="T11" s="305" t="s">
        <v>214</v>
      </c>
      <c r="U11" s="305"/>
      <c r="V11" s="304"/>
      <c r="W11" s="305" t="s">
        <v>215</v>
      </c>
      <c r="X11" s="305"/>
      <c r="Y11" s="601" t="s">
        <v>218</v>
      </c>
      <c r="Z11" s="601"/>
      <c r="AA11" s="602"/>
      <c r="AB11" s="576" t="s">
        <v>114</v>
      </c>
      <c r="AC11" s="577"/>
      <c r="AD11" s="578"/>
      <c r="AF11" s="576"/>
      <c r="AG11" s="577"/>
      <c r="AH11" s="578"/>
    </row>
    <row r="12" spans="1:41" x14ac:dyDescent="0.25">
      <c r="C12" s="423"/>
      <c r="D12" s="593" t="s">
        <v>147</v>
      </c>
      <c r="E12" s="594"/>
      <c r="F12" s="594"/>
      <c r="G12" s="595" t="s">
        <v>148</v>
      </c>
      <c r="H12" s="596"/>
      <c r="I12" s="597"/>
      <c r="J12" s="568" t="s">
        <v>160</v>
      </c>
      <c r="K12" s="569"/>
      <c r="L12" s="570"/>
      <c r="M12" s="568" t="s">
        <v>160</v>
      </c>
      <c r="N12" s="569"/>
      <c r="O12" s="570"/>
      <c r="P12" s="568" t="s">
        <v>160</v>
      </c>
      <c r="Q12" s="569"/>
      <c r="R12" s="570"/>
      <c r="S12" s="568" t="s">
        <v>160</v>
      </c>
      <c r="T12" s="569"/>
      <c r="U12" s="570"/>
      <c r="V12" s="568" t="s">
        <v>160</v>
      </c>
      <c r="W12" s="569"/>
      <c r="X12" s="570"/>
      <c r="Y12" s="568" t="s">
        <v>160</v>
      </c>
      <c r="Z12" s="569"/>
      <c r="AA12" s="570"/>
      <c r="AB12" s="565" t="s">
        <v>53</v>
      </c>
      <c r="AC12" s="566"/>
      <c r="AD12" s="567"/>
      <c r="AF12" s="565" t="s">
        <v>226</v>
      </c>
      <c r="AG12" s="566"/>
      <c r="AH12" s="567"/>
    </row>
    <row r="13" spans="1:41" x14ac:dyDescent="0.25">
      <c r="B13" s="49" t="s">
        <v>161</v>
      </c>
      <c r="C13" s="88" t="s">
        <v>162</v>
      </c>
      <c r="D13" s="74" t="s">
        <v>49</v>
      </c>
      <c r="E13" s="75" t="s">
        <v>50</v>
      </c>
      <c r="F13" s="76" t="s">
        <v>51</v>
      </c>
      <c r="G13" s="77" t="s">
        <v>49</v>
      </c>
      <c r="H13" s="78" t="s">
        <v>50</v>
      </c>
      <c r="I13" s="78" t="s">
        <v>51</v>
      </c>
      <c r="J13" s="74" t="s">
        <v>49</v>
      </c>
      <c r="K13" s="75" t="s">
        <v>50</v>
      </c>
      <c r="L13" s="75" t="s">
        <v>51</v>
      </c>
      <c r="M13" s="74" t="s">
        <v>49</v>
      </c>
      <c r="N13" s="75" t="s">
        <v>50</v>
      </c>
      <c r="O13" s="75" t="s">
        <v>51</v>
      </c>
      <c r="P13" s="74" t="s">
        <v>49</v>
      </c>
      <c r="Q13" s="75" t="s">
        <v>50</v>
      </c>
      <c r="R13" s="75" t="s">
        <v>51</v>
      </c>
      <c r="S13" s="74" t="s">
        <v>49</v>
      </c>
      <c r="T13" s="75" t="s">
        <v>50</v>
      </c>
      <c r="U13" s="75" t="s">
        <v>51</v>
      </c>
      <c r="V13" s="74" t="s">
        <v>49</v>
      </c>
      <c r="W13" s="75" t="s">
        <v>50</v>
      </c>
      <c r="X13" s="75" t="s">
        <v>51</v>
      </c>
      <c r="Y13" s="74" t="s">
        <v>49</v>
      </c>
      <c r="Z13" s="75" t="s">
        <v>50</v>
      </c>
      <c r="AA13" s="75" t="s">
        <v>51</v>
      </c>
      <c r="AB13" s="122" t="s">
        <v>49</v>
      </c>
      <c r="AC13" s="123" t="s">
        <v>52</v>
      </c>
      <c r="AD13" s="294" t="s">
        <v>51</v>
      </c>
      <c r="AF13" s="122" t="s">
        <v>49</v>
      </c>
      <c r="AG13" s="123" t="s">
        <v>52</v>
      </c>
      <c r="AH13" s="294" t="s">
        <v>51</v>
      </c>
    </row>
    <row r="14" spans="1:41" ht="15.75" thickBot="1" x14ac:dyDescent="0.3">
      <c r="B14" s="49">
        <v>2013</v>
      </c>
      <c r="C14" s="49">
        <f>B14+3</f>
        <v>2016</v>
      </c>
      <c r="D14" s="87"/>
      <c r="E14" s="88"/>
      <c r="F14" s="88"/>
      <c r="G14" s="69"/>
      <c r="H14" s="70"/>
      <c r="I14" s="70"/>
      <c r="J14" s="54">
        <v>10245755</v>
      </c>
      <c r="K14" s="88"/>
      <c r="L14" s="88"/>
      <c r="M14" s="40"/>
      <c r="N14" s="115"/>
      <c r="O14" s="116"/>
      <c r="P14" s="40"/>
      <c r="Q14" s="115"/>
      <c r="R14" s="116"/>
      <c r="S14" s="429"/>
      <c r="T14" s="115"/>
      <c r="U14" s="116"/>
      <c r="V14" s="87"/>
      <c r="W14" s="88"/>
      <c r="X14" s="88"/>
      <c r="Y14" s="87"/>
      <c r="Z14" s="88"/>
      <c r="AA14" s="88"/>
      <c r="AB14" s="124"/>
      <c r="AC14" s="125"/>
      <c r="AD14" s="295"/>
      <c r="AF14" s="124"/>
      <c r="AG14" s="125"/>
      <c r="AH14" s="295"/>
    </row>
    <row r="15" spans="1:41" ht="16.5" thickTop="1" thickBot="1" x14ac:dyDescent="0.3">
      <c r="B15" s="49">
        <f>B14+1</f>
        <v>2014</v>
      </c>
      <c r="C15" s="49">
        <f t="shared" ref="C15:C45" si="0">B15+3</f>
        <v>2017</v>
      </c>
      <c r="D15" s="87"/>
      <c r="E15" s="75"/>
      <c r="F15" s="75"/>
      <c r="G15" s="329">
        <v>-28041895</v>
      </c>
      <c r="H15" s="292">
        <v>21</v>
      </c>
      <c r="I15" s="58">
        <f>-PMT(1.075/1.03-1,H15,G15*1.075^0.5,0,1)</f>
        <v>-2053724.8999443729</v>
      </c>
      <c r="J15" s="54">
        <v>10864793</v>
      </c>
      <c r="K15" s="88"/>
      <c r="L15" s="88"/>
      <c r="M15" s="315">
        <f>255215749*0.069</f>
        <v>17609886.681000002</v>
      </c>
      <c r="N15" s="75"/>
      <c r="O15" s="76"/>
      <c r="P15" s="421">
        <f>106246311-101203363</f>
        <v>5042948</v>
      </c>
      <c r="Q15" s="75"/>
      <c r="R15" s="76"/>
      <c r="S15" s="421">
        <f>111540548-106246311</f>
        <v>5294237</v>
      </c>
      <c r="T15" s="440"/>
      <c r="U15" s="441"/>
      <c r="V15" s="421">
        <f>122933600-111540548</f>
        <v>11393052</v>
      </c>
      <c r="W15" s="75"/>
      <c r="X15" s="76"/>
      <c r="Y15" s="421">
        <f>149329722-122933600</f>
        <v>26396122</v>
      </c>
      <c r="Z15" s="75"/>
      <c r="AA15" s="76"/>
      <c r="AB15" s="92">
        <f>99953804+17609887</f>
        <v>117563691</v>
      </c>
      <c r="AC15" s="255"/>
      <c r="AD15" s="296"/>
      <c r="AF15" s="92"/>
      <c r="AG15" s="255"/>
      <c r="AH15" s="296"/>
    </row>
    <row r="16" spans="1:41" ht="16.5" thickTop="1" thickBot="1" x14ac:dyDescent="0.3">
      <c r="A16" s="49">
        <v>1</v>
      </c>
      <c r="B16" s="49">
        <f>B15+1</f>
        <v>2015</v>
      </c>
      <c r="C16" s="49">
        <f t="shared" si="0"/>
        <v>2018</v>
      </c>
      <c r="D16" s="293">
        <v>118168306</v>
      </c>
      <c r="E16" s="245">
        <v>17</v>
      </c>
      <c r="F16" s="56">
        <f>-PMT(1.075/1.03-1,E16,D16*1.075^0.5,0,1)</f>
        <v>9927463.7644708678</v>
      </c>
      <c r="G16" s="56">
        <f>G15*1.075-I15*1.075^0.5</f>
        <v>-28015689.827821732</v>
      </c>
      <c r="H16" s="63">
        <f>H15-1</f>
        <v>20</v>
      </c>
      <c r="I16" s="56">
        <f t="shared" ref="I16:I32" si="1">-PMT(1.075/1.03-1,H16,G16*1.075^0.5,0,1)</f>
        <v>-2115336.6469427045</v>
      </c>
      <c r="J16" s="299">
        <v>11521602</v>
      </c>
      <c r="K16" s="71">
        <v>20</v>
      </c>
      <c r="L16" s="303">
        <f>-PMT(1.075/1.03-1,K16,J16*1.075^0.5,0,1)</f>
        <v>869943.48851924471</v>
      </c>
      <c r="M16" s="299">
        <f>M15*1.065</f>
        <v>18754529.315265</v>
      </c>
      <c r="N16" s="71">
        <v>20</v>
      </c>
      <c r="O16" s="303">
        <f>-PMT(1.065/1.03-1,N16,M16*1.065^0.5,0,1)</f>
        <v>1304927.144694003</v>
      </c>
      <c r="P16" s="299">
        <f>P15*1.065</f>
        <v>5370739.6200000001</v>
      </c>
      <c r="Q16" s="71">
        <v>20</v>
      </c>
      <c r="R16" s="303">
        <f>-PMT(1.065/1.03-1,Q16,P16*1.065^0.5,0,1)</f>
        <v>373692.33849644742</v>
      </c>
      <c r="S16" s="299">
        <f>S15*1.065</f>
        <v>5638362.4049999993</v>
      </c>
      <c r="T16" s="71">
        <v>20</v>
      </c>
      <c r="U16" s="303">
        <f>-PMT(1.065/1.03-1,T16,S16*1.065^0.5,0,1)</f>
        <v>392313.34629752598</v>
      </c>
      <c r="V16" s="299">
        <f>V15*1.065</f>
        <v>12133600.379999999</v>
      </c>
      <c r="W16" s="71">
        <v>20</v>
      </c>
      <c r="X16" s="303">
        <f>-PMT(1.065/1.03-1,W16,V16*1.065^0.5,0,1)</f>
        <v>844247.50056745112</v>
      </c>
      <c r="Y16" s="299">
        <f>Y15*1.065</f>
        <v>28111869.93</v>
      </c>
      <c r="Z16" s="71">
        <v>20</v>
      </c>
      <c r="AA16" s="303">
        <f>-PMT(1.065/1.03-1,Z16,Y16*1.065^0.5,0,1)</f>
        <v>1956004.415952241</v>
      </c>
      <c r="AB16" s="302">
        <f>D16+G16+J16+M16+P16+S16+V16+Y16</f>
        <v>171683319.82244328</v>
      </c>
      <c r="AC16" s="245">
        <v>20</v>
      </c>
      <c r="AD16" s="301">
        <f>F16+I16+L16+O16+R16+U16+X16+AA16</f>
        <v>13553255.352055075</v>
      </c>
      <c r="AF16" s="293">
        <f>AB16</f>
        <v>171683319.82244328</v>
      </c>
      <c r="AG16" s="245">
        <v>20</v>
      </c>
      <c r="AH16" s="55">
        <f>-PMT(1.075-1,AG16,AF16*1.075^0.5,0,1)</f>
        <v>16242703.192074353</v>
      </c>
      <c r="AO16" s="216">
        <v>500000</v>
      </c>
    </row>
    <row r="17" spans="1:41" ht="15.75" thickTop="1" x14ac:dyDescent="0.25">
      <c r="A17" s="49">
        <f>A16+1</f>
        <v>2</v>
      </c>
      <c r="B17" s="49">
        <f t="shared" ref="B17:B45" si="2">B16+1</f>
        <v>2016</v>
      </c>
      <c r="C17" s="49">
        <f t="shared" si="0"/>
        <v>2019</v>
      </c>
      <c r="D17" s="54">
        <f>D16*1.075-F16*1.075^0.5</f>
        <v>116737915.44303818</v>
      </c>
      <c r="E17" s="63">
        <f>E16-1</f>
        <v>16</v>
      </c>
      <c r="F17" s="56">
        <f t="shared" ref="F17:F32" si="3">-PMT(1.075/1.03-1,E17,D17*1.075^0.5,0,1)</f>
        <v>10225287.677404996</v>
      </c>
      <c r="G17" s="56">
        <f t="shared" ref="G17:G32" si="4">G16*1.075-I16*1.075^0.5</f>
        <v>-27923638.848814745</v>
      </c>
      <c r="H17" s="63">
        <f t="shared" ref="H17:H35" si="5">H16-1</f>
        <v>19</v>
      </c>
      <c r="I17" s="56">
        <f t="shared" si="1"/>
        <v>-2178796.746350985</v>
      </c>
      <c r="J17" s="54">
        <f>J16*1.075-L16*1.075^0.5</f>
        <v>11483745.543480568</v>
      </c>
      <c r="K17" s="63">
        <f>K16-1</f>
        <v>19</v>
      </c>
      <c r="L17" s="55">
        <f t="shared" ref="L17:L35" si="6">-PMT(1.075/1.03-1,K17,J17*1.075^0.5,0,1)</f>
        <v>896041.79317482177</v>
      </c>
      <c r="M17" s="54">
        <f>M16*1.065-O16*1.065^0.5</f>
        <v>18626904.081089947</v>
      </c>
      <c r="N17" s="63">
        <f>N16-1</f>
        <v>19</v>
      </c>
      <c r="O17" s="55">
        <f>-PMT(1.065/1.03-1,N17,M17*1.065^0.5,0,1)</f>
        <v>1344074.9590348226</v>
      </c>
      <c r="P17" s="54">
        <f>P16*1.065-R16*1.065^0.5</f>
        <v>5334191.547255896</v>
      </c>
      <c r="Q17" s="63">
        <f>Q16-1</f>
        <v>19</v>
      </c>
      <c r="R17" s="55">
        <f t="shared" ref="R17:R35" si="7">-PMT(1.065/1.03-1,Q17,P17*1.065^0.5,0,1)</f>
        <v>384903.10865134076</v>
      </c>
      <c r="S17" s="54">
        <f>S16*1.065-U16*1.065^0.5</f>
        <v>5599993.1497547487</v>
      </c>
      <c r="T17" s="63">
        <f>T16-1</f>
        <v>19</v>
      </c>
      <c r="U17" s="55">
        <f>-PMT(1.065/1.03-1,T17,S17*1.065^0.5,0,1)</f>
        <v>404082.74668645166</v>
      </c>
      <c r="V17" s="54">
        <f>V16*1.065-X16*1.065^0.5</f>
        <v>12051030.801001096</v>
      </c>
      <c r="W17" s="63">
        <f>W16-1</f>
        <v>19</v>
      </c>
      <c r="X17" s="55">
        <f>-PMT(1.065/1.03-1,W17,V17*1.065^0.5,0,1)</f>
        <v>869574.92558447458</v>
      </c>
      <c r="Y17" s="486">
        <f>Y16*1.065-AA16*1.065^0.5</f>
        <v>27920567.662552815</v>
      </c>
      <c r="Z17" s="63">
        <f>Z16-1</f>
        <v>19</v>
      </c>
      <c r="AA17" s="55">
        <f>-PMT(1.065/1.03-1,Z17,Y17*1.065^0.5,0,1)</f>
        <v>2014684.5484308079</v>
      </c>
      <c r="AB17" s="56">
        <f t="shared" ref="AB17:AB35" si="8">D17+G17+J17+M17+P17+S17+V17+Y17</f>
        <v>169830709.3793585</v>
      </c>
      <c r="AC17" s="63">
        <f>AC16-1</f>
        <v>19</v>
      </c>
      <c r="AD17" s="297">
        <f t="shared" ref="AD17:AD35" si="9">F17+I17+L17+O17+R17+U17+X17+AA17</f>
        <v>13959853.012616729</v>
      </c>
      <c r="AF17" s="54">
        <f>AF16*1.07375-AH16*1.07375^0.5</f>
        <v>167513965.55795741</v>
      </c>
      <c r="AG17" s="63">
        <f>AG16-1</f>
        <v>19</v>
      </c>
      <c r="AH17" s="55">
        <f>-PMT(1.07375-1,AG17,AF17*1.07375^0.5,0,1)</f>
        <v>16083573.085411936</v>
      </c>
      <c r="AO17" s="216">
        <v>500000</v>
      </c>
    </row>
    <row r="18" spans="1:41" x14ac:dyDescent="0.25">
      <c r="A18" s="49">
        <f t="shared" ref="A18:A45" si="10">A17+1</f>
        <v>3</v>
      </c>
      <c r="B18" s="49">
        <f t="shared" si="2"/>
        <v>2017</v>
      </c>
      <c r="C18" s="49">
        <f t="shared" si="0"/>
        <v>2020</v>
      </c>
      <c r="D18" s="54">
        <f t="shared" ref="D18:D32" si="11">D17*1.075-F17*1.075^0.5</f>
        <v>114891455.18909538</v>
      </c>
      <c r="E18" s="63">
        <f t="shared" ref="E18:E32" si="12">E17-1</f>
        <v>15</v>
      </c>
      <c r="F18" s="56">
        <f t="shared" si="3"/>
        <v>10532046.307727145</v>
      </c>
      <c r="G18" s="56">
        <f t="shared" si="4"/>
        <v>-27758887.214899424</v>
      </c>
      <c r="H18" s="63">
        <f t="shared" si="5"/>
        <v>18</v>
      </c>
      <c r="I18" s="56">
        <f t="shared" si="1"/>
        <v>-2244160.6487415144</v>
      </c>
      <c r="J18" s="54">
        <f t="shared" ref="J18:J35" si="13">J17*1.075-L17*1.075^0.5</f>
        <v>11415990.554526595</v>
      </c>
      <c r="K18" s="63">
        <f t="shared" ref="K18:K35" si="14">K17-1</f>
        <v>18</v>
      </c>
      <c r="L18" s="55">
        <f t="shared" si="6"/>
        <v>922923.04697006661</v>
      </c>
      <c r="M18" s="54">
        <f>M17*1.065-O17*1.065^0.5</f>
        <v>18450583.117503498</v>
      </c>
      <c r="N18" s="63">
        <f t="shared" ref="N18:N35" si="15">N17-1</f>
        <v>18</v>
      </c>
      <c r="O18" s="55">
        <f t="shared" ref="O18:O35" si="16">-PMT(1.065/1.03-1,N18,M18*1.065^0.5,0,1)</f>
        <v>1384397.2078058675</v>
      </c>
      <c r="P18" s="54">
        <f>P17*1.065-R17*1.065^0.5</f>
        <v>5283698.4653421026</v>
      </c>
      <c r="Q18" s="63">
        <f t="shared" ref="Q18:Q35" si="17">Q17-1</f>
        <v>18</v>
      </c>
      <c r="R18" s="55">
        <f t="shared" si="7"/>
        <v>396450.20191088098</v>
      </c>
      <c r="S18" s="54">
        <f>S17*1.065-U17*1.065^0.5</f>
        <v>5546984.0085714497</v>
      </c>
      <c r="T18" s="63">
        <f t="shared" ref="T18:T35" si="18">T17-1</f>
        <v>18</v>
      </c>
      <c r="U18" s="55">
        <f t="shared" ref="U18:U35" si="19">-PMT(1.065/1.03-1,T18,S18*1.065^0.5,0,1)</f>
        <v>416205.2290870453</v>
      </c>
      <c r="V18" s="54">
        <f>V17*1.065-X17*1.065^0.5</f>
        <v>11936956.591256296</v>
      </c>
      <c r="W18" s="63">
        <f t="shared" ref="W18:W35" si="20">W17-1</f>
        <v>18</v>
      </c>
      <c r="X18" s="55">
        <f t="shared" ref="X18:X35" si="21">-PMT(1.065/1.03-1,W18,V18*1.065^0.5,0,1)</f>
        <v>895662.1733520088</v>
      </c>
      <c r="Y18" s="54">
        <f>Y17*1.065-AA17*1.065^0.5</f>
        <v>27656273.53333465</v>
      </c>
      <c r="Z18" s="63">
        <f t="shared" ref="Z18:Z35" si="22">Z17-1</f>
        <v>18</v>
      </c>
      <c r="AA18" s="55">
        <f t="shared" ref="AA18:AA35" si="23">-PMT(1.065/1.03-1,Z18,Y18*1.065^0.5,0,1)</f>
        <v>2075125.0848837325</v>
      </c>
      <c r="AB18" s="56">
        <f t="shared" si="8"/>
        <v>167423054.24473053</v>
      </c>
      <c r="AC18" s="63">
        <f t="shared" ref="AC18:AC35" si="24">AC17-1</f>
        <v>18</v>
      </c>
      <c r="AD18" s="297">
        <f t="shared" si="9"/>
        <v>14378648.602995234</v>
      </c>
      <c r="AF18" s="54">
        <f>AF17*1.0725-AH17*1.0725^0.5</f>
        <v>163002326.31487375</v>
      </c>
      <c r="AG18" s="63">
        <f t="shared" ref="AG18:AG35" si="25">AG17-1</f>
        <v>18</v>
      </c>
      <c r="AH18" s="55">
        <f>-PMT(1.0725-1,AG18,AF18*1.0725^0.5,0,1)</f>
        <v>15930666.62671612</v>
      </c>
      <c r="AO18" s="216">
        <v>500000</v>
      </c>
    </row>
    <row r="19" spans="1:41" x14ac:dyDescent="0.25">
      <c r="A19" s="49">
        <f t="shared" si="10"/>
        <v>4</v>
      </c>
      <c r="B19" s="49">
        <f t="shared" si="2"/>
        <v>2018</v>
      </c>
      <c r="C19" s="49">
        <f t="shared" si="0"/>
        <v>2021</v>
      </c>
      <c r="D19" s="54">
        <f t="shared" si="11"/>
        <v>112588456.29874174</v>
      </c>
      <c r="E19" s="63">
        <f t="shared" si="12"/>
        <v>14</v>
      </c>
      <c r="F19" s="56">
        <f t="shared" si="3"/>
        <v>10848007.696958959</v>
      </c>
      <c r="G19" s="56">
        <f t="shared" si="4"/>
        <v>-27514008.472013164</v>
      </c>
      <c r="H19" s="63">
        <f t="shared" si="5"/>
        <v>17</v>
      </c>
      <c r="I19" s="56">
        <f t="shared" si="1"/>
        <v>-2311485.4682037593</v>
      </c>
      <c r="J19" s="54">
        <f t="shared" si="13"/>
        <v>11315282.864259625</v>
      </c>
      <c r="K19" s="63">
        <f t="shared" si="14"/>
        <v>17</v>
      </c>
      <c r="L19" s="55">
        <f t="shared" si="6"/>
        <v>950610.73837916879</v>
      </c>
      <c r="M19" s="54">
        <f t="shared" ref="M19:M35" si="26">M18*1.065-O18*1.065^0.5</f>
        <v>18221189.199418209</v>
      </c>
      <c r="N19" s="63">
        <f t="shared" si="15"/>
        <v>17</v>
      </c>
      <c r="O19" s="55">
        <f t="shared" si="16"/>
        <v>1425929.1240400432</v>
      </c>
      <c r="P19" s="54">
        <f t="shared" ref="P19:P35" si="27">P18*1.065-R18*1.065^0.5</f>
        <v>5218006.8671293501</v>
      </c>
      <c r="Q19" s="63">
        <f t="shared" si="17"/>
        <v>17</v>
      </c>
      <c r="R19" s="55">
        <f t="shared" si="7"/>
        <v>408343.70796820748</v>
      </c>
      <c r="S19" s="54">
        <f t="shared" ref="S19:S35" si="28">S18*1.065-U18*1.065^0.5</f>
        <v>5478019.0123337153</v>
      </c>
      <c r="T19" s="63">
        <f t="shared" si="18"/>
        <v>17</v>
      </c>
      <c r="U19" s="55">
        <f t="shared" si="19"/>
        <v>428691.38595965668</v>
      </c>
      <c r="V19" s="54">
        <f t="shared" ref="V19:V35" si="29">V18*1.065-X18*1.065^0.5</f>
        <v>11788545.821523789</v>
      </c>
      <c r="W19" s="63">
        <f t="shared" si="20"/>
        <v>17</v>
      </c>
      <c r="X19" s="55">
        <f t="shared" si="21"/>
        <v>922532.03855256888</v>
      </c>
      <c r="Y19" s="54">
        <f t="shared" ref="Y19:Y35" si="30">Y18*1.065-AA18*1.065^0.5</f>
        <v>27312426.354898781</v>
      </c>
      <c r="Z19" s="63">
        <f t="shared" si="22"/>
        <v>17</v>
      </c>
      <c r="AA19" s="55">
        <f t="shared" si="23"/>
        <v>2137378.8374302438</v>
      </c>
      <c r="AB19" s="56">
        <f t="shared" si="8"/>
        <v>164407917.94629207</v>
      </c>
      <c r="AC19" s="63">
        <f t="shared" si="24"/>
        <v>17</v>
      </c>
      <c r="AD19" s="297">
        <f t="shared" si="9"/>
        <v>14810008.06108509</v>
      </c>
      <c r="AF19" s="54">
        <f>AF18*1.07-AH18*1.07^0.5</f>
        <v>157933679.46344566</v>
      </c>
      <c r="AG19" s="63">
        <f t="shared" si="25"/>
        <v>17</v>
      </c>
      <c r="AH19" s="55">
        <f>-PMT(1.07-1,AG19,AF19*1.07^0.5,0,1)</f>
        <v>15638304.163516391</v>
      </c>
      <c r="AO19" s="216">
        <v>500000</v>
      </c>
    </row>
    <row r="20" spans="1:41" x14ac:dyDescent="0.25">
      <c r="A20" s="49">
        <f t="shared" si="10"/>
        <v>5</v>
      </c>
      <c r="B20" s="49">
        <f t="shared" si="2"/>
        <v>2019</v>
      </c>
      <c r="C20" s="49">
        <f t="shared" si="0"/>
        <v>2022</v>
      </c>
      <c r="D20" s="54">
        <f t="shared" si="11"/>
        <v>109785136.75072551</v>
      </c>
      <c r="E20" s="63">
        <f t="shared" si="12"/>
        <v>13</v>
      </c>
      <c r="F20" s="56">
        <f t="shared" si="3"/>
        <v>11173447.927867729</v>
      </c>
      <c r="G20" s="56">
        <f t="shared" si="4"/>
        <v>-27180959.964890324</v>
      </c>
      <c r="H20" s="63">
        <f t="shared" si="5"/>
        <v>16</v>
      </c>
      <c r="I20" s="56">
        <f t="shared" si="1"/>
        <v>-2380830.032249873</v>
      </c>
      <c r="J20" s="54">
        <f t="shared" si="13"/>
        <v>11178314.887766937</v>
      </c>
      <c r="K20" s="63">
        <f t="shared" si="14"/>
        <v>16</v>
      </c>
      <c r="L20" s="55">
        <f t="shared" si="6"/>
        <v>979129.06053054414</v>
      </c>
      <c r="M20" s="54">
        <f t="shared" si="26"/>
        <v>17934024.222035687</v>
      </c>
      <c r="N20" s="63">
        <f t="shared" si="15"/>
        <v>16</v>
      </c>
      <c r="O20" s="55">
        <f t="shared" si="16"/>
        <v>1468706.9977612444</v>
      </c>
      <c r="P20" s="54">
        <f t="shared" si="27"/>
        <v>5135771.3550789682</v>
      </c>
      <c r="Q20" s="63">
        <f t="shared" si="17"/>
        <v>16</v>
      </c>
      <c r="R20" s="55">
        <f t="shared" si="7"/>
        <v>420594.01920725359</v>
      </c>
      <c r="S20" s="54">
        <f t="shared" si="28"/>
        <v>5391685.7226366811</v>
      </c>
      <c r="T20" s="63">
        <f t="shared" si="18"/>
        <v>16</v>
      </c>
      <c r="U20" s="55">
        <f t="shared" si="19"/>
        <v>441552.12753844622</v>
      </c>
      <c r="V20" s="54">
        <f t="shared" si="29"/>
        <v>11602758.963313745</v>
      </c>
      <c r="W20" s="63">
        <f t="shared" si="20"/>
        <v>16</v>
      </c>
      <c r="X20" s="55">
        <f t="shared" si="21"/>
        <v>950207.99970914586</v>
      </c>
      <c r="Y20" s="54">
        <f t="shared" si="30"/>
        <v>26881983.9611215</v>
      </c>
      <c r="Z20" s="63">
        <f t="shared" si="22"/>
        <v>16</v>
      </c>
      <c r="AA20" s="55">
        <f t="shared" si="23"/>
        <v>2201500.2025531512</v>
      </c>
      <c r="AB20" s="56">
        <f t="shared" si="8"/>
        <v>160728715.8977887</v>
      </c>
      <c r="AC20" s="63">
        <f t="shared" si="24"/>
        <v>16</v>
      </c>
      <c r="AD20" s="297">
        <f t="shared" si="9"/>
        <v>15254308.302917641</v>
      </c>
      <c r="AF20" s="54">
        <f>AF19*1.07-AH19*1.07^0.5</f>
        <v>152812649.41590422</v>
      </c>
      <c r="AG20" s="63">
        <f t="shared" si="25"/>
        <v>16</v>
      </c>
      <c r="AH20" s="55">
        <f t="shared" ref="AH20:AH35" si="31">-PMT(1.07-1,AG20,AF20*1.07^0.5,0,1)</f>
        <v>15638304.163516393</v>
      </c>
      <c r="AO20" s="216">
        <v>500000</v>
      </c>
    </row>
    <row r="21" spans="1:41" x14ac:dyDescent="0.25">
      <c r="A21" s="49">
        <f t="shared" si="10"/>
        <v>6</v>
      </c>
      <c r="B21" s="49">
        <f t="shared" si="2"/>
        <v>2020</v>
      </c>
      <c r="C21" s="49">
        <f t="shared" si="0"/>
        <v>2023</v>
      </c>
      <c r="D21" s="54">
        <f t="shared" si="11"/>
        <v>106434144.6234954</v>
      </c>
      <c r="E21" s="63">
        <f t="shared" si="12"/>
        <v>12</v>
      </c>
      <c r="F21" s="56">
        <f t="shared" si="3"/>
        <v>11508651.365703758</v>
      </c>
      <c r="G21" s="56">
        <f t="shared" si="4"/>
        <v>-26751034.845457558</v>
      </c>
      <c r="H21" s="63">
        <f t="shared" si="5"/>
        <v>15</v>
      </c>
      <c r="I21" s="56">
        <f t="shared" si="1"/>
        <v>-2452254.933217369</v>
      </c>
      <c r="J21" s="54">
        <f t="shared" si="13"/>
        <v>11001505.887297932</v>
      </c>
      <c r="K21" s="63">
        <f t="shared" si="14"/>
        <v>15</v>
      </c>
      <c r="L21" s="55">
        <f t="shared" si="6"/>
        <v>1008502.9323464603</v>
      </c>
      <c r="M21" s="54">
        <f t="shared" si="26"/>
        <v>17584047.25286296</v>
      </c>
      <c r="N21" s="63">
        <f t="shared" si="15"/>
        <v>15</v>
      </c>
      <c r="O21" s="55">
        <f t="shared" si="16"/>
        <v>1512768.2076940814</v>
      </c>
      <c r="P21" s="54">
        <f t="shared" si="27"/>
        <v>5035548.3559928983</v>
      </c>
      <c r="Q21" s="63">
        <f t="shared" si="17"/>
        <v>15</v>
      </c>
      <c r="R21" s="55">
        <f t="shared" si="7"/>
        <v>433211.83978347125</v>
      </c>
      <c r="S21" s="54">
        <f t="shared" si="28"/>
        <v>5286468.6333443783</v>
      </c>
      <c r="T21" s="63">
        <f t="shared" si="18"/>
        <v>15</v>
      </c>
      <c r="U21" s="55">
        <f t="shared" si="19"/>
        <v>454798.69136459951</v>
      </c>
      <c r="V21" s="54">
        <f t="shared" si="29"/>
        <v>11376334.689221775</v>
      </c>
      <c r="W21" s="63">
        <f t="shared" si="20"/>
        <v>15</v>
      </c>
      <c r="X21" s="55">
        <f t="shared" si="21"/>
        <v>978714.23970041994</v>
      </c>
      <c r="Y21" s="54">
        <f t="shared" si="30"/>
        <v>26357390.308543324</v>
      </c>
      <c r="Z21" s="63">
        <f t="shared" si="22"/>
        <v>15</v>
      </c>
      <c r="AA21" s="55">
        <f t="shared" si="23"/>
        <v>2267545.2086297451</v>
      </c>
      <c r="AB21" s="56">
        <f t="shared" si="8"/>
        <v>156324404.90530109</v>
      </c>
      <c r="AC21" s="63">
        <f t="shared" si="24"/>
        <v>15</v>
      </c>
      <c r="AD21" s="297">
        <f t="shared" si="9"/>
        <v>15711937.552005164</v>
      </c>
      <c r="AF21" s="54">
        <f>AF20*1.07-AH20*1.07^0.5</f>
        <v>147333147.26503488</v>
      </c>
      <c r="AG21" s="63">
        <f t="shared" si="25"/>
        <v>15</v>
      </c>
      <c r="AH21" s="55">
        <f t="shared" si="31"/>
        <v>15638304.163516395</v>
      </c>
      <c r="AO21" s="216">
        <v>500000</v>
      </c>
    </row>
    <row r="22" spans="1:41" x14ac:dyDescent="0.25">
      <c r="A22" s="49">
        <f t="shared" si="10"/>
        <v>7</v>
      </c>
      <c r="B22" s="49">
        <f t="shared" si="2"/>
        <v>2021</v>
      </c>
      <c r="C22" s="49">
        <f t="shared" si="0"/>
        <v>2024</v>
      </c>
      <c r="D22" s="54">
        <f t="shared" si="11"/>
        <v>102484281.76521701</v>
      </c>
      <c r="E22" s="63">
        <f t="shared" si="12"/>
        <v>11</v>
      </c>
      <c r="F22" s="56">
        <f t="shared" si="3"/>
        <v>11853910.906674869</v>
      </c>
      <c r="G22" s="56">
        <f t="shared" si="4"/>
        <v>-26214810.428563345</v>
      </c>
      <c r="H22" s="63">
        <f t="shared" si="5"/>
        <v>14</v>
      </c>
      <c r="I22" s="56">
        <f t="shared" si="1"/>
        <v>-2525822.5812138901</v>
      </c>
      <c r="J22" s="54">
        <f t="shared" si="13"/>
        <v>10780980.733282205</v>
      </c>
      <c r="K22" s="63">
        <f t="shared" si="14"/>
        <v>14</v>
      </c>
      <c r="L22" s="55">
        <f t="shared" si="6"/>
        <v>1038758.020316854</v>
      </c>
      <c r="M22" s="54">
        <f t="shared" si="26"/>
        <v>17165851.124385856</v>
      </c>
      <c r="N22" s="63">
        <f t="shared" si="15"/>
        <v>14</v>
      </c>
      <c r="O22" s="55">
        <f t="shared" si="16"/>
        <v>1558151.2539249044</v>
      </c>
      <c r="P22" s="54">
        <f t="shared" si="27"/>
        <v>4915789.4178512478</v>
      </c>
      <c r="Q22" s="63">
        <f t="shared" si="17"/>
        <v>14</v>
      </c>
      <c r="R22" s="55">
        <f t="shared" si="7"/>
        <v>446208.19497697538</v>
      </c>
      <c r="S22" s="54">
        <f t="shared" si="28"/>
        <v>5160742.1334101651</v>
      </c>
      <c r="T22" s="63">
        <f t="shared" si="18"/>
        <v>14</v>
      </c>
      <c r="U22" s="55">
        <f t="shared" si="19"/>
        <v>468442.65210553748</v>
      </c>
      <c r="V22" s="54">
        <f t="shared" si="29"/>
        <v>11105774.729112606</v>
      </c>
      <c r="W22" s="63">
        <f t="shared" si="20"/>
        <v>14</v>
      </c>
      <c r="X22" s="55">
        <f t="shared" si="21"/>
        <v>1008075.6668914326</v>
      </c>
      <c r="Y22" s="54">
        <f t="shared" si="30"/>
        <v>25730540.390246037</v>
      </c>
      <c r="Z22" s="63">
        <f t="shared" si="22"/>
        <v>14</v>
      </c>
      <c r="AA22" s="55">
        <f t="shared" si="23"/>
        <v>2335571.564888638</v>
      </c>
      <c r="AB22" s="56">
        <f t="shared" si="8"/>
        <v>151129149.86494181</v>
      </c>
      <c r="AC22" s="63">
        <f t="shared" si="24"/>
        <v>14</v>
      </c>
      <c r="AD22" s="297">
        <f t="shared" si="9"/>
        <v>16183295.678565323</v>
      </c>
      <c r="AF22" s="54">
        <f t="shared" ref="AF22:AF35" si="32">AF21*1.07-AH21*1.07^0.5</f>
        <v>141470079.96360469</v>
      </c>
      <c r="AG22" s="63">
        <f t="shared" si="25"/>
        <v>14</v>
      </c>
      <c r="AH22" s="55">
        <f t="shared" si="31"/>
        <v>15638304.163516389</v>
      </c>
      <c r="AO22" s="216">
        <v>500000</v>
      </c>
    </row>
    <row r="23" spans="1:41" x14ac:dyDescent="0.25">
      <c r="A23" s="49">
        <f t="shared" si="10"/>
        <v>8</v>
      </c>
      <c r="B23" s="49">
        <f t="shared" si="2"/>
        <v>2022</v>
      </c>
      <c r="C23" s="49">
        <f t="shared" si="0"/>
        <v>2025</v>
      </c>
      <c r="D23" s="54">
        <f t="shared" si="11"/>
        <v>97880206.481416523</v>
      </c>
      <c r="E23" s="63">
        <f t="shared" si="12"/>
        <v>10</v>
      </c>
      <c r="F23" s="56">
        <f t="shared" si="3"/>
        <v>12209528.23387512</v>
      </c>
      <c r="G23" s="56">
        <f t="shared" si="4"/>
        <v>-25562092.619492959</v>
      </c>
      <c r="H23" s="63">
        <f t="shared" si="5"/>
        <v>13</v>
      </c>
      <c r="I23" s="56">
        <f t="shared" si="1"/>
        <v>-2601597.2586503071</v>
      </c>
      <c r="J23" s="54">
        <f t="shared" si="13"/>
        <v>10512547.049848408</v>
      </c>
      <c r="K23" s="63">
        <f t="shared" si="14"/>
        <v>13</v>
      </c>
      <c r="L23" s="55">
        <f t="shared" si="6"/>
        <v>1069920.7609263596</v>
      </c>
      <c r="M23" s="54">
        <f t="shared" si="26"/>
        <v>16673637.471560344</v>
      </c>
      <c r="N23" s="63">
        <f t="shared" si="15"/>
        <v>13</v>
      </c>
      <c r="O23" s="55">
        <f t="shared" si="16"/>
        <v>1604895.7915426514</v>
      </c>
      <c r="P23" s="54">
        <f t="shared" si="27"/>
        <v>4774834.0612919535</v>
      </c>
      <c r="Q23" s="63">
        <f t="shared" si="17"/>
        <v>13</v>
      </c>
      <c r="R23" s="55">
        <f t="shared" si="7"/>
        <v>459594.44082628458</v>
      </c>
      <c r="S23" s="54">
        <f t="shared" si="28"/>
        <v>5012763.00214718</v>
      </c>
      <c r="T23" s="63">
        <f t="shared" si="18"/>
        <v>13</v>
      </c>
      <c r="U23" s="55">
        <f t="shared" si="19"/>
        <v>482495.93166870362</v>
      </c>
      <c r="V23" s="54">
        <f t="shared" si="29"/>
        <v>10787327.720149085</v>
      </c>
      <c r="W23" s="63">
        <f t="shared" si="20"/>
        <v>13</v>
      </c>
      <c r="X23" s="55">
        <f t="shared" si="21"/>
        <v>1038317.9368981756</v>
      </c>
      <c r="Y23" s="54">
        <f t="shared" si="30"/>
        <v>24992742.818608847</v>
      </c>
      <c r="Z23" s="63">
        <f t="shared" si="22"/>
        <v>13</v>
      </c>
      <c r="AA23" s="55">
        <f t="shared" si="23"/>
        <v>2405638.7118352968</v>
      </c>
      <c r="AB23" s="56">
        <f t="shared" si="8"/>
        <v>145071965.98552936</v>
      </c>
      <c r="AC23" s="63">
        <f t="shared" si="24"/>
        <v>13</v>
      </c>
      <c r="AD23" s="297">
        <f t="shared" si="9"/>
        <v>16668794.548922285</v>
      </c>
      <c r="AF23" s="54">
        <f t="shared" si="32"/>
        <v>135196597.95107439</v>
      </c>
      <c r="AG23" s="63">
        <f t="shared" si="25"/>
        <v>13</v>
      </c>
      <c r="AH23" s="55">
        <f t="shared" si="31"/>
        <v>15638304.163516389</v>
      </c>
      <c r="AO23" s="216">
        <v>500000</v>
      </c>
    </row>
    <row r="24" spans="1:41" x14ac:dyDescent="0.25">
      <c r="A24" s="49">
        <f t="shared" si="10"/>
        <v>9</v>
      </c>
      <c r="B24" s="49">
        <f t="shared" si="2"/>
        <v>2023</v>
      </c>
      <c r="C24" s="49">
        <f t="shared" si="0"/>
        <v>2026</v>
      </c>
      <c r="D24" s="54">
        <f t="shared" si="11"/>
        <v>92562113.658845231</v>
      </c>
      <c r="E24" s="63">
        <f t="shared" si="12"/>
        <v>9</v>
      </c>
      <c r="F24" s="56">
        <f t="shared" si="3"/>
        <v>12575814.080891369</v>
      </c>
      <c r="G24" s="56">
        <f t="shared" si="4"/>
        <v>-24781856.117005918</v>
      </c>
      <c r="H24" s="63">
        <f t="shared" si="5"/>
        <v>12</v>
      </c>
      <c r="I24" s="56">
        <f t="shared" si="1"/>
        <v>-2679645.1764098159</v>
      </c>
      <c r="J24" s="54">
        <f t="shared" si="13"/>
        <v>10191670.623004178</v>
      </c>
      <c r="K24" s="63">
        <f t="shared" si="14"/>
        <v>12</v>
      </c>
      <c r="L24" s="55">
        <f t="shared" si="6"/>
        <v>1102018.3837541505</v>
      </c>
      <c r="M24" s="54">
        <f t="shared" si="26"/>
        <v>16101190.112023855</v>
      </c>
      <c r="N24" s="63">
        <f t="shared" si="15"/>
        <v>12</v>
      </c>
      <c r="O24" s="55">
        <f t="shared" si="16"/>
        <v>1653042.6652889305</v>
      </c>
      <c r="P24" s="54">
        <f t="shared" si="27"/>
        <v>4610902.1564947162</v>
      </c>
      <c r="Q24" s="63">
        <f t="shared" si="17"/>
        <v>12</v>
      </c>
      <c r="R24" s="55">
        <f t="shared" si="7"/>
        <v>473382.27405107301</v>
      </c>
      <c r="S24" s="54">
        <f t="shared" si="28"/>
        <v>4840662.4062540624</v>
      </c>
      <c r="T24" s="63">
        <f t="shared" si="18"/>
        <v>12</v>
      </c>
      <c r="U24" s="55">
        <f t="shared" si="19"/>
        <v>496970.80961876467</v>
      </c>
      <c r="V24" s="54">
        <f t="shared" si="29"/>
        <v>10416971.984612258</v>
      </c>
      <c r="W24" s="63">
        <f t="shared" si="20"/>
        <v>12</v>
      </c>
      <c r="X24" s="55">
        <f t="shared" si="21"/>
        <v>1069467.4750051205</v>
      </c>
      <c r="Y24" s="54">
        <f t="shared" si="30"/>
        <v>24134679.923905145</v>
      </c>
      <c r="Z24" s="63">
        <f t="shared" si="22"/>
        <v>12</v>
      </c>
      <c r="AA24" s="55">
        <f t="shared" si="23"/>
        <v>2477807.8731903555</v>
      </c>
      <c r="AB24" s="56">
        <f t="shared" si="8"/>
        <v>138076334.74813354</v>
      </c>
      <c r="AC24" s="63">
        <f t="shared" si="24"/>
        <v>12</v>
      </c>
      <c r="AD24" s="297">
        <f t="shared" si="9"/>
        <v>17168858.38538995</v>
      </c>
      <c r="AF24" s="54">
        <f t="shared" si="32"/>
        <v>128483972.19766697</v>
      </c>
      <c r="AG24" s="63">
        <f t="shared" si="25"/>
        <v>12</v>
      </c>
      <c r="AH24" s="55">
        <f t="shared" si="31"/>
        <v>15638304.163516391</v>
      </c>
      <c r="AO24" s="216">
        <v>500000</v>
      </c>
    </row>
    <row r="25" spans="1:41" x14ac:dyDescent="0.25">
      <c r="A25" s="49">
        <f t="shared" si="10"/>
        <v>10</v>
      </c>
      <c r="B25" s="49">
        <f t="shared" si="2"/>
        <v>2024</v>
      </c>
      <c r="C25" s="49">
        <f t="shared" si="0"/>
        <v>2027</v>
      </c>
      <c r="D25" s="54">
        <f t="shared" si="11"/>
        <v>86465390.625320777</v>
      </c>
      <c r="E25" s="63">
        <f t="shared" si="12"/>
        <v>8</v>
      </c>
      <c r="F25" s="56">
        <f t="shared" si="3"/>
        <v>12953088.503318112</v>
      </c>
      <c r="G25" s="56">
        <f t="shared" si="4"/>
        <v>-23862180.073363878</v>
      </c>
      <c r="H25" s="63">
        <f t="shared" si="5"/>
        <v>11</v>
      </c>
      <c r="I25" s="56">
        <f t="shared" si="1"/>
        <v>-2760034.5317021101</v>
      </c>
      <c r="J25" s="54">
        <f t="shared" si="13"/>
        <v>9813448.9404791426</v>
      </c>
      <c r="K25" s="63">
        <f t="shared" si="14"/>
        <v>11</v>
      </c>
      <c r="L25" s="55">
        <f t="shared" si="6"/>
        <v>1135078.9352667748</v>
      </c>
      <c r="M25" s="54">
        <f t="shared" si="26"/>
        <v>15441846.660261856</v>
      </c>
      <c r="N25" s="63">
        <f t="shared" si="15"/>
        <v>11</v>
      </c>
      <c r="O25" s="55">
        <f t="shared" si="16"/>
        <v>1702633.9452475982</v>
      </c>
      <c r="P25" s="54">
        <f t="shared" si="27"/>
        <v>4422085.7943222234</v>
      </c>
      <c r="Q25" s="63">
        <f t="shared" si="17"/>
        <v>11</v>
      </c>
      <c r="R25" s="55">
        <f t="shared" si="7"/>
        <v>487583.74227260519</v>
      </c>
      <c r="S25" s="54">
        <f t="shared" si="28"/>
        <v>4642437.3658969114</v>
      </c>
      <c r="T25" s="63">
        <f t="shared" si="18"/>
        <v>11</v>
      </c>
      <c r="U25" s="55">
        <f t="shared" si="19"/>
        <v>511879.93390732753</v>
      </c>
      <c r="V25" s="54">
        <f t="shared" si="29"/>
        <v>9990397.1651451439</v>
      </c>
      <c r="W25" s="63">
        <f t="shared" si="20"/>
        <v>11</v>
      </c>
      <c r="X25" s="55">
        <f t="shared" si="21"/>
        <v>1101551.4992552742</v>
      </c>
      <c r="Y25" s="54">
        <f t="shared" si="30"/>
        <v>23146365.205708306</v>
      </c>
      <c r="Z25" s="63">
        <f t="shared" si="22"/>
        <v>11</v>
      </c>
      <c r="AA25" s="55">
        <f t="shared" si="23"/>
        <v>2552142.109386066</v>
      </c>
      <c r="AB25" s="56">
        <f t="shared" si="8"/>
        <v>130059791.68377048</v>
      </c>
      <c r="AC25" s="63">
        <f t="shared" si="24"/>
        <v>11</v>
      </c>
      <c r="AD25" s="297">
        <f t="shared" si="9"/>
        <v>17683924.136951648</v>
      </c>
      <c r="AF25" s="54">
        <f t="shared" si="32"/>
        <v>121301462.64152104</v>
      </c>
      <c r="AG25" s="63">
        <f t="shared" si="25"/>
        <v>11</v>
      </c>
      <c r="AH25" s="55">
        <f t="shared" si="31"/>
        <v>15638304.163516395</v>
      </c>
      <c r="AO25" s="216">
        <v>500000</v>
      </c>
    </row>
    <row r="26" spans="1:41" x14ac:dyDescent="0.25">
      <c r="A26" s="49">
        <f t="shared" si="10"/>
        <v>11</v>
      </c>
      <c r="B26" s="49">
        <f t="shared" si="2"/>
        <v>2025</v>
      </c>
      <c r="C26" s="49">
        <f t="shared" si="0"/>
        <v>2028</v>
      </c>
      <c r="D26" s="54">
        <f t="shared" si="11"/>
        <v>79520246.917543843</v>
      </c>
      <c r="E26" s="63">
        <f t="shared" si="12"/>
        <v>7</v>
      </c>
      <c r="F26" s="56">
        <f t="shared" si="3"/>
        <v>13341681.158417653</v>
      </c>
      <c r="G26" s="56">
        <f t="shared" si="4"/>
        <v>-22790178.868876163</v>
      </c>
      <c r="H26" s="63">
        <f t="shared" si="5"/>
        <v>10</v>
      </c>
      <c r="I26" s="56">
        <f t="shared" si="1"/>
        <v>-2842835.567653174</v>
      </c>
      <c r="J26" s="54">
        <f t="shared" si="13"/>
        <v>9372582.7223872207</v>
      </c>
      <c r="K26" s="63">
        <f t="shared" si="14"/>
        <v>10</v>
      </c>
      <c r="L26" s="55">
        <f t="shared" si="6"/>
        <v>1169131.3033247783</v>
      </c>
      <c r="M26" s="54">
        <f t="shared" si="26"/>
        <v>14688468.259864021</v>
      </c>
      <c r="N26" s="63">
        <f t="shared" si="15"/>
        <v>10</v>
      </c>
      <c r="O26" s="55">
        <f t="shared" si="16"/>
        <v>1753712.9636050258</v>
      </c>
      <c r="P26" s="54">
        <f t="shared" si="27"/>
        <v>4206340.6185381785</v>
      </c>
      <c r="Q26" s="63">
        <f t="shared" si="17"/>
        <v>10</v>
      </c>
      <c r="R26" s="55">
        <f t="shared" si="7"/>
        <v>502211.25454078335</v>
      </c>
      <c r="S26" s="54">
        <f t="shared" si="28"/>
        <v>4415941.6550136358</v>
      </c>
      <c r="T26" s="63">
        <f t="shared" si="18"/>
        <v>10</v>
      </c>
      <c r="U26" s="55">
        <f t="shared" si="19"/>
        <v>527236.33192454744</v>
      </c>
      <c r="V26" s="54">
        <f t="shared" si="29"/>
        <v>9502984.6424586587</v>
      </c>
      <c r="W26" s="63">
        <f t="shared" si="20"/>
        <v>10</v>
      </c>
      <c r="X26" s="55">
        <f t="shared" si="21"/>
        <v>1134598.0442329326</v>
      </c>
      <c r="Y26" s="54">
        <f t="shared" si="30"/>
        <v>22017097.96343115</v>
      </c>
      <c r="Z26" s="63">
        <f t="shared" si="22"/>
        <v>10</v>
      </c>
      <c r="AA26" s="55">
        <f t="shared" si="23"/>
        <v>2628706.372667647</v>
      </c>
      <c r="AB26" s="56">
        <f t="shared" si="8"/>
        <v>120933483.91036054</v>
      </c>
      <c r="AC26" s="63">
        <f t="shared" si="24"/>
        <v>10</v>
      </c>
      <c r="AD26" s="297">
        <f t="shared" si="9"/>
        <v>18214441.861060191</v>
      </c>
      <c r="AF26" s="54">
        <f t="shared" si="32"/>
        <v>113616177.41644488</v>
      </c>
      <c r="AG26" s="63">
        <f t="shared" si="25"/>
        <v>10</v>
      </c>
      <c r="AH26" s="55">
        <f t="shared" si="31"/>
        <v>15638304.163516393</v>
      </c>
      <c r="AO26" s="216">
        <v>500000</v>
      </c>
    </row>
    <row r="27" spans="1:41" x14ac:dyDescent="0.25">
      <c r="A27" s="49">
        <f t="shared" si="10"/>
        <v>12</v>
      </c>
      <c r="B27" s="49">
        <f t="shared" si="2"/>
        <v>2026</v>
      </c>
      <c r="C27" s="49">
        <f t="shared" si="0"/>
        <v>2029</v>
      </c>
      <c r="D27" s="54">
        <f t="shared" si="11"/>
        <v>71651315.991543382</v>
      </c>
      <c r="E27" s="63">
        <f t="shared" si="12"/>
        <v>6</v>
      </c>
      <c r="F27" s="56">
        <f t="shared" si="3"/>
        <v>13741931.593170183</v>
      </c>
      <c r="G27" s="56">
        <f t="shared" si="4"/>
        <v>-21551927.632752165</v>
      </c>
      <c r="H27" s="63">
        <f t="shared" si="5"/>
        <v>9</v>
      </c>
      <c r="I27" s="56">
        <f t="shared" si="1"/>
        <v>-2928120.634682769</v>
      </c>
      <c r="J27" s="54">
        <f t="shared" si="13"/>
        <v>8863345.2912795693</v>
      </c>
      <c r="K27" s="63">
        <f t="shared" si="14"/>
        <v>9</v>
      </c>
      <c r="L27" s="55">
        <f t="shared" si="6"/>
        <v>1204205.2424245214</v>
      </c>
      <c r="M27" s="54">
        <f t="shared" si="26"/>
        <v>13833407.310440883</v>
      </c>
      <c r="N27" s="63">
        <f t="shared" si="15"/>
        <v>9</v>
      </c>
      <c r="O27" s="55">
        <f t="shared" si="16"/>
        <v>1806324.3525131766</v>
      </c>
      <c r="P27" s="54">
        <f t="shared" si="27"/>
        <v>3961476.5837557204</v>
      </c>
      <c r="Q27" s="63">
        <f t="shared" si="17"/>
        <v>9</v>
      </c>
      <c r="R27" s="55">
        <f t="shared" si="7"/>
        <v>517277.59217700682</v>
      </c>
      <c r="S27" s="54">
        <f t="shared" si="28"/>
        <v>4158876.0987329502</v>
      </c>
      <c r="T27" s="63">
        <f t="shared" si="18"/>
        <v>9</v>
      </c>
      <c r="U27" s="55">
        <f t="shared" si="19"/>
        <v>543053.42188228387</v>
      </c>
      <c r="V27" s="54">
        <f t="shared" si="29"/>
        <v>8949786.6556449253</v>
      </c>
      <c r="W27" s="63">
        <f t="shared" si="20"/>
        <v>9</v>
      </c>
      <c r="X27" s="55">
        <f t="shared" si="21"/>
        <v>1168635.9855599205</v>
      </c>
      <c r="Y27" s="54">
        <f t="shared" si="30"/>
        <v>20735414.920986533</v>
      </c>
      <c r="Z27" s="63">
        <f t="shared" si="22"/>
        <v>9</v>
      </c>
      <c r="AA27" s="55">
        <f t="shared" si="23"/>
        <v>2707567.5638476773</v>
      </c>
      <c r="AB27" s="56">
        <f t="shared" si="8"/>
        <v>110601695.21963179</v>
      </c>
      <c r="AC27" s="63">
        <f t="shared" si="24"/>
        <v>9</v>
      </c>
      <c r="AD27" s="297">
        <f t="shared" si="9"/>
        <v>18760875.116892003</v>
      </c>
      <c r="AF27" s="54">
        <f t="shared" si="32"/>
        <v>105392922.22561339</v>
      </c>
      <c r="AG27" s="63">
        <f t="shared" si="25"/>
        <v>9</v>
      </c>
      <c r="AH27" s="55">
        <f t="shared" si="31"/>
        <v>15638304.163516395</v>
      </c>
      <c r="AO27" s="216">
        <v>500000</v>
      </c>
    </row>
    <row r="28" spans="1:41" s="50" customFormat="1" x14ac:dyDescent="0.25">
      <c r="A28" s="49">
        <f t="shared" si="10"/>
        <v>13</v>
      </c>
      <c r="B28" s="49">
        <f t="shared" si="2"/>
        <v>2027</v>
      </c>
      <c r="C28" s="49">
        <f t="shared" si="0"/>
        <v>2030</v>
      </c>
      <c r="D28" s="54">
        <f t="shared" si="11"/>
        <v>62777226.76274839</v>
      </c>
      <c r="E28" s="63">
        <f t="shared" si="12"/>
        <v>5</v>
      </c>
      <c r="F28" s="56">
        <f t="shared" si="3"/>
        <v>14154189.540965294</v>
      </c>
      <c r="G28" s="56">
        <f t="shared" si="4"/>
        <v>-20132382.114380177</v>
      </c>
      <c r="H28" s="63">
        <f t="shared" si="5"/>
        <v>8</v>
      </c>
      <c r="I28" s="56">
        <f t="shared" si="1"/>
        <v>-3015964.2537232526</v>
      </c>
      <c r="J28" s="54">
        <f t="shared" si="13"/>
        <v>8279549.6187802423</v>
      </c>
      <c r="K28" s="63">
        <f t="shared" si="14"/>
        <v>8</v>
      </c>
      <c r="L28" s="55">
        <f t="shared" si="6"/>
        <v>1240331.399697257</v>
      </c>
      <c r="M28" s="54">
        <f t="shared" si="26"/>
        <v>12868473.057715813</v>
      </c>
      <c r="N28" s="63">
        <f t="shared" si="15"/>
        <v>8</v>
      </c>
      <c r="O28" s="55">
        <f t="shared" si="16"/>
        <v>1860514.0830885719</v>
      </c>
      <c r="P28" s="54">
        <f t="shared" si="27"/>
        <v>3685148.10146278</v>
      </c>
      <c r="Q28" s="63">
        <f t="shared" si="17"/>
        <v>8</v>
      </c>
      <c r="R28" s="55">
        <f t="shared" si="7"/>
        <v>532795.91994231683</v>
      </c>
      <c r="S28" s="54">
        <f t="shared" si="28"/>
        <v>3868778.2283783229</v>
      </c>
      <c r="T28" s="63">
        <f t="shared" si="18"/>
        <v>8</v>
      </c>
      <c r="U28" s="55">
        <f t="shared" si="19"/>
        <v>559345.02453875239</v>
      </c>
      <c r="V28" s="54">
        <f t="shared" si="29"/>
        <v>8325504.0400310932</v>
      </c>
      <c r="W28" s="63">
        <f t="shared" si="20"/>
        <v>8</v>
      </c>
      <c r="X28" s="55">
        <f t="shared" si="21"/>
        <v>1203695.0651267178</v>
      </c>
      <c r="Y28" s="54">
        <f t="shared" si="30"/>
        <v>19289038.648480989</v>
      </c>
      <c r="Z28" s="63">
        <f t="shared" si="22"/>
        <v>8</v>
      </c>
      <c r="AA28" s="55">
        <f t="shared" si="23"/>
        <v>2788794.5907631069</v>
      </c>
      <c r="AB28" s="56">
        <f t="shared" si="8"/>
        <v>98961336.343217432</v>
      </c>
      <c r="AC28" s="63">
        <f t="shared" si="24"/>
        <v>8</v>
      </c>
      <c r="AD28" s="297">
        <f t="shared" si="9"/>
        <v>19323701.370398764</v>
      </c>
      <c r="AE28" s="73"/>
      <c r="AF28" s="54">
        <f t="shared" si="32"/>
        <v>96594039.171423689</v>
      </c>
      <c r="AG28" s="63">
        <f t="shared" si="25"/>
        <v>8</v>
      </c>
      <c r="AH28" s="55">
        <f t="shared" si="31"/>
        <v>15638304.163516393</v>
      </c>
      <c r="AO28" s="216">
        <v>500000</v>
      </c>
    </row>
    <row r="29" spans="1:41" s="50" customFormat="1" x14ac:dyDescent="0.25">
      <c r="A29" s="49">
        <f t="shared" si="10"/>
        <v>14</v>
      </c>
      <c r="B29" s="49">
        <f t="shared" si="2"/>
        <v>2028</v>
      </c>
      <c r="C29" s="49">
        <f t="shared" si="0"/>
        <v>2031</v>
      </c>
      <c r="D29" s="54">
        <f t="shared" si="11"/>
        <v>52810142.703948945</v>
      </c>
      <c r="E29" s="63">
        <f t="shared" si="12"/>
        <v>4</v>
      </c>
      <c r="F29" s="56">
        <f t="shared" si="3"/>
        <v>14578815.22719425</v>
      </c>
      <c r="G29" s="56">
        <f t="shared" si="4"/>
        <v>-18515292.479405437</v>
      </c>
      <c r="H29" s="63">
        <f t="shared" si="5"/>
        <v>7</v>
      </c>
      <c r="I29" s="56">
        <f t="shared" si="1"/>
        <v>-3106443.1813349496</v>
      </c>
      <c r="J29" s="54">
        <f t="shared" si="13"/>
        <v>7614512.8737631077</v>
      </c>
      <c r="K29" s="63">
        <f t="shared" si="14"/>
        <v>7</v>
      </c>
      <c r="L29" s="55">
        <f t="shared" si="6"/>
        <v>1277541.3416881748</v>
      </c>
      <c r="M29" s="54">
        <f t="shared" si="26"/>
        <v>11784894.9067265</v>
      </c>
      <c r="N29" s="63">
        <f t="shared" si="15"/>
        <v>7</v>
      </c>
      <c r="O29" s="55">
        <f t="shared" si="16"/>
        <v>1916329.5055812288</v>
      </c>
      <c r="P29" s="54">
        <f t="shared" si="27"/>
        <v>3374843.5340136867</v>
      </c>
      <c r="Q29" s="63">
        <f t="shared" si="17"/>
        <v>7</v>
      </c>
      <c r="R29" s="55">
        <f t="shared" si="7"/>
        <v>548779.79754058633</v>
      </c>
      <c r="S29" s="54">
        <f t="shared" si="28"/>
        <v>3543011.2519474761</v>
      </c>
      <c r="T29" s="63">
        <f t="shared" si="18"/>
        <v>7</v>
      </c>
      <c r="U29" s="55">
        <f t="shared" si="19"/>
        <v>576125.37527491478</v>
      </c>
      <c r="V29" s="54">
        <f t="shared" si="29"/>
        <v>7624462.4919554396</v>
      </c>
      <c r="W29" s="63">
        <f t="shared" si="20"/>
        <v>7</v>
      </c>
      <c r="X29" s="55">
        <f t="shared" si="21"/>
        <v>1239805.9170805193</v>
      </c>
      <c r="Y29" s="54">
        <f t="shared" si="30"/>
        <v>17664822.570991494</v>
      </c>
      <c r="Z29" s="63">
        <f t="shared" si="22"/>
        <v>7</v>
      </c>
      <c r="AA29" s="55">
        <f t="shared" si="23"/>
        <v>2872458.4284859993</v>
      </c>
      <c r="AB29" s="56">
        <f t="shared" si="8"/>
        <v>85901397.853941232</v>
      </c>
      <c r="AC29" s="63">
        <f t="shared" si="24"/>
        <v>7</v>
      </c>
      <c r="AD29" s="297">
        <f t="shared" si="9"/>
        <v>19903412.411510725</v>
      </c>
      <c r="AE29" s="73"/>
      <c r="AF29" s="54">
        <f t="shared" si="32"/>
        <v>87179234.30344072</v>
      </c>
      <c r="AG29" s="63">
        <f t="shared" si="25"/>
        <v>7</v>
      </c>
      <c r="AH29" s="55">
        <f t="shared" si="31"/>
        <v>15638304.163516391</v>
      </c>
      <c r="AO29" s="216">
        <v>500000</v>
      </c>
    </row>
    <row r="30" spans="1:41" s="50" customFormat="1" x14ac:dyDescent="0.25">
      <c r="A30" s="49">
        <f t="shared" si="10"/>
        <v>15</v>
      </c>
      <c r="B30" s="49">
        <f t="shared" si="2"/>
        <v>2029</v>
      </c>
      <c r="C30" s="49">
        <f t="shared" si="0"/>
        <v>2032</v>
      </c>
      <c r="D30" s="54">
        <f t="shared" si="11"/>
        <v>41655266.058759376</v>
      </c>
      <c r="E30" s="63">
        <f t="shared" si="12"/>
        <v>3</v>
      </c>
      <c r="F30" s="56">
        <f t="shared" si="3"/>
        <v>15016179.684010077</v>
      </c>
      <c r="G30" s="56">
        <f t="shared" si="4"/>
        <v>-16683110.573000994</v>
      </c>
      <c r="H30" s="63">
        <f t="shared" si="5"/>
        <v>6</v>
      </c>
      <c r="I30" s="56">
        <f t="shared" si="1"/>
        <v>-3199636.4767749966</v>
      </c>
      <c r="J30" s="54">
        <f t="shared" si="13"/>
        <v>6861018.2838769183</v>
      </c>
      <c r="K30" s="63">
        <f t="shared" si="14"/>
        <v>6</v>
      </c>
      <c r="L30" s="55">
        <f t="shared" si="6"/>
        <v>1315867.58193882</v>
      </c>
      <c r="M30" s="54">
        <f t="shared" si="26"/>
        <v>10573283.308930658</v>
      </c>
      <c r="N30" s="63">
        <f t="shared" si="15"/>
        <v>6</v>
      </c>
      <c r="O30" s="55">
        <f t="shared" si="16"/>
        <v>1973819.3907486654</v>
      </c>
      <c r="P30" s="54">
        <f t="shared" si="27"/>
        <v>3027873.9938590773</v>
      </c>
      <c r="Q30" s="63">
        <f t="shared" si="17"/>
        <v>6</v>
      </c>
      <c r="R30" s="55">
        <f t="shared" si="7"/>
        <v>565243.19146680378</v>
      </c>
      <c r="S30" s="54">
        <f t="shared" si="28"/>
        <v>3178752.2952103615</v>
      </c>
      <c r="T30" s="63">
        <f t="shared" si="18"/>
        <v>6</v>
      </c>
      <c r="U30" s="55">
        <f t="shared" si="19"/>
        <v>593409.13653316209</v>
      </c>
      <c r="V30" s="54">
        <f t="shared" si="29"/>
        <v>6840587.2639345378</v>
      </c>
      <c r="W30" s="63">
        <f t="shared" si="20"/>
        <v>6</v>
      </c>
      <c r="X30" s="55">
        <f t="shared" si="21"/>
        <v>1277000.0945929347</v>
      </c>
      <c r="Y30" s="54">
        <f t="shared" si="30"/>
        <v>15848692.340775959</v>
      </c>
      <c r="Z30" s="63">
        <f t="shared" si="22"/>
        <v>6</v>
      </c>
      <c r="AA30" s="55">
        <f t="shared" si="23"/>
        <v>2958632.1813405785</v>
      </c>
      <c r="AB30" s="56">
        <f t="shared" si="8"/>
        <v>71302362.972345889</v>
      </c>
      <c r="AC30" s="63">
        <f t="shared" si="24"/>
        <v>6</v>
      </c>
      <c r="AD30" s="297">
        <f t="shared" si="9"/>
        <v>20500514.783856045</v>
      </c>
      <c r="AE30" s="73"/>
      <c r="AF30" s="54">
        <f t="shared" si="32"/>
        <v>77105393.094698936</v>
      </c>
      <c r="AG30" s="63">
        <f t="shared" si="25"/>
        <v>6</v>
      </c>
      <c r="AH30" s="55">
        <f t="shared" si="31"/>
        <v>15638304.163516391</v>
      </c>
      <c r="AO30" s="216">
        <v>500000</v>
      </c>
    </row>
    <row r="31" spans="1:41" s="50" customFormat="1" x14ac:dyDescent="0.25">
      <c r="A31" s="49">
        <f t="shared" si="10"/>
        <v>16</v>
      </c>
      <c r="B31" s="49">
        <f t="shared" si="2"/>
        <v>2030</v>
      </c>
      <c r="C31" s="49">
        <f t="shared" si="0"/>
        <v>2033</v>
      </c>
      <c r="D31" s="54">
        <f t="shared" si="11"/>
        <v>29210304.544741027</v>
      </c>
      <c r="E31" s="63">
        <f t="shared" si="12"/>
        <v>2</v>
      </c>
      <c r="F31" s="56">
        <f t="shared" si="3"/>
        <v>15466665.074530382</v>
      </c>
      <c r="G31" s="56">
        <f t="shared" si="4"/>
        <v>-14616890.158345427</v>
      </c>
      <c r="H31" s="63">
        <f t="shared" si="5"/>
        <v>5</v>
      </c>
      <c r="I31" s="56">
        <f t="shared" si="1"/>
        <v>-3295625.5710782488</v>
      </c>
      <c r="J31" s="54">
        <f t="shared" si="13"/>
        <v>6011274.1080867117</v>
      </c>
      <c r="K31" s="63">
        <f t="shared" si="14"/>
        <v>5</v>
      </c>
      <c r="L31" s="55">
        <f t="shared" si="6"/>
        <v>1355343.609396985</v>
      </c>
      <c r="M31" s="54">
        <f t="shared" si="26"/>
        <v>9223588.0642760936</v>
      </c>
      <c r="N31" s="63">
        <f t="shared" si="15"/>
        <v>5</v>
      </c>
      <c r="O31" s="55">
        <f t="shared" si="16"/>
        <v>2033033.972471125</v>
      </c>
      <c r="P31" s="54">
        <f t="shared" si="27"/>
        <v>2641361.4024984539</v>
      </c>
      <c r="Q31" s="63">
        <f t="shared" si="17"/>
        <v>5</v>
      </c>
      <c r="R31" s="55">
        <f t="shared" si="7"/>
        <v>582200.48721080786</v>
      </c>
      <c r="S31" s="54">
        <f t="shared" si="28"/>
        <v>2772979.8656419236</v>
      </c>
      <c r="T31" s="63">
        <f t="shared" si="18"/>
        <v>5</v>
      </c>
      <c r="U31" s="55">
        <f t="shared" si="19"/>
        <v>611211.41062915709</v>
      </c>
      <c r="V31" s="54">
        <f t="shared" si="29"/>
        <v>5967376.1873923372</v>
      </c>
      <c r="W31" s="63">
        <f t="shared" si="20"/>
        <v>5</v>
      </c>
      <c r="X31" s="55">
        <f t="shared" si="21"/>
        <v>1315310.097430723</v>
      </c>
      <c r="Y31" s="54">
        <f t="shared" si="30"/>
        <v>13825583.334676515</v>
      </c>
      <c r="Z31" s="63">
        <f t="shared" si="22"/>
        <v>5</v>
      </c>
      <c r="AA31" s="55">
        <f t="shared" si="23"/>
        <v>3047391.1467807954</v>
      </c>
      <c r="AB31" s="56">
        <f>D31+G31+J31+M31+P31+S31+V31+Y31</f>
        <v>55035577.348967642</v>
      </c>
      <c r="AC31" s="63">
        <f t="shared" si="24"/>
        <v>5</v>
      </c>
      <c r="AD31" s="297">
        <f t="shared" si="9"/>
        <v>21115530.22737173</v>
      </c>
      <c r="AE31" s="73"/>
      <c r="AF31" s="54">
        <f t="shared" si="32"/>
        <v>66326383.001345232</v>
      </c>
      <c r="AG31" s="63">
        <f t="shared" si="25"/>
        <v>5</v>
      </c>
      <c r="AH31" s="55">
        <f t="shared" si="31"/>
        <v>15638304.163516395</v>
      </c>
      <c r="AO31" s="216">
        <v>500000</v>
      </c>
    </row>
    <row r="32" spans="1:41" s="50" customFormat="1" x14ac:dyDescent="0.25">
      <c r="A32" s="49">
        <f t="shared" si="10"/>
        <v>17</v>
      </c>
      <c r="B32" s="49">
        <f t="shared" si="2"/>
        <v>2031</v>
      </c>
      <c r="C32" s="49">
        <f t="shared" si="0"/>
        <v>2034</v>
      </c>
      <c r="D32" s="54">
        <f t="shared" si="11"/>
        <v>15364897.723118536</v>
      </c>
      <c r="E32" s="63">
        <f t="shared" si="12"/>
        <v>1</v>
      </c>
      <c r="F32" s="56">
        <f t="shared" si="3"/>
        <v>15930665.026766304</v>
      </c>
      <c r="G32" s="56">
        <f t="shared" si="4"/>
        <v>-12296179.60136177</v>
      </c>
      <c r="H32" s="63">
        <f t="shared" si="5"/>
        <v>4</v>
      </c>
      <c r="I32" s="56">
        <f t="shared" si="1"/>
        <v>-3394494.3382105958</v>
      </c>
      <c r="J32" s="54">
        <f t="shared" si="13"/>
        <v>5056869.502699811</v>
      </c>
      <c r="K32" s="63">
        <f t="shared" si="14"/>
        <v>4</v>
      </c>
      <c r="L32" s="55">
        <f t="shared" si="6"/>
        <v>1396003.9176788947</v>
      </c>
      <c r="M32" s="54">
        <f t="shared" si="26"/>
        <v>7725053.8689269312</v>
      </c>
      <c r="N32" s="63">
        <f t="shared" si="15"/>
        <v>4</v>
      </c>
      <c r="O32" s="55">
        <f t="shared" si="16"/>
        <v>2094024.9916452584</v>
      </c>
      <c r="P32" s="54">
        <f t="shared" si="27"/>
        <v>2212225.7606705455</v>
      </c>
      <c r="Q32" s="63">
        <f t="shared" si="17"/>
        <v>4</v>
      </c>
      <c r="R32" s="55">
        <f t="shared" si="7"/>
        <v>599666.50182713196</v>
      </c>
      <c r="S32" s="54">
        <f t="shared" si="28"/>
        <v>2322460.488288824</v>
      </c>
      <c r="T32" s="63">
        <f t="shared" si="18"/>
        <v>4</v>
      </c>
      <c r="U32" s="55">
        <f t="shared" si="19"/>
        <v>629547.75294803153</v>
      </c>
      <c r="V32" s="54">
        <f t="shared" si="29"/>
        <v>4997870.9134139558</v>
      </c>
      <c r="W32" s="63">
        <f t="shared" si="20"/>
        <v>4</v>
      </c>
      <c r="X32" s="55">
        <f t="shared" si="21"/>
        <v>1354769.4003536443</v>
      </c>
      <c r="Y32" s="54">
        <f t="shared" si="30"/>
        <v>11579374.022933112</v>
      </c>
      <c r="Z32" s="63">
        <f t="shared" si="22"/>
        <v>4</v>
      </c>
      <c r="AA32" s="55">
        <f t="shared" si="23"/>
        <v>3138812.8811842185</v>
      </c>
      <c r="AB32" s="56">
        <f t="shared" si="8"/>
        <v>36962572.678689949</v>
      </c>
      <c r="AC32" s="63">
        <f t="shared" si="24"/>
        <v>4</v>
      </c>
      <c r="AD32" s="297">
        <f>F32+I32+L32+O32+R32+U32+X32+AA32</f>
        <v>21748996.134192884</v>
      </c>
      <c r="AE32" s="73"/>
      <c r="AF32" s="54">
        <f t="shared" si="32"/>
        <v>54792842.20145677</v>
      </c>
      <c r="AG32" s="63">
        <f t="shared" si="25"/>
        <v>4</v>
      </c>
      <c r="AH32" s="55">
        <f t="shared" si="31"/>
        <v>15638304.163516393</v>
      </c>
      <c r="AO32" s="216">
        <v>500000</v>
      </c>
    </row>
    <row r="33" spans="1:41" s="50" customFormat="1" x14ac:dyDescent="0.25">
      <c r="A33" s="49">
        <f t="shared" si="10"/>
        <v>18</v>
      </c>
      <c r="B33" s="49">
        <f t="shared" si="2"/>
        <v>2032</v>
      </c>
      <c r="C33" s="49">
        <f t="shared" si="0"/>
        <v>2035</v>
      </c>
      <c r="D33" s="54"/>
      <c r="E33" s="63"/>
      <c r="F33" s="56"/>
      <c r="G33" s="56">
        <f t="shared" ref="G33:G35" si="33">G32*1.075-I32*1.075^0.5</f>
        <v>-9698906.4330385514</v>
      </c>
      <c r="H33" s="63">
        <f t="shared" si="5"/>
        <v>3</v>
      </c>
      <c r="I33" s="56">
        <f t="shared" ref="I33:I35" si="34">-PMT(1.075/1.03-1,H33,G33*1.075^0.5,0,1)</f>
        <v>-3496329.1683569136</v>
      </c>
      <c r="J33" s="54">
        <f t="shared" si="13"/>
        <v>3988727.0470040897</v>
      </c>
      <c r="K33" s="63">
        <f t="shared" si="14"/>
        <v>3</v>
      </c>
      <c r="L33" s="55">
        <f t="shared" si="6"/>
        <v>1437884.0352092616</v>
      </c>
      <c r="M33" s="54">
        <f t="shared" si="26"/>
        <v>6066172.9282942601</v>
      </c>
      <c r="N33" s="63">
        <f t="shared" si="15"/>
        <v>3</v>
      </c>
      <c r="O33" s="55">
        <f t="shared" si="16"/>
        <v>2156845.7413946153</v>
      </c>
      <c r="P33" s="54">
        <f t="shared" si="27"/>
        <v>1737171.5781341144</v>
      </c>
      <c r="Q33" s="63">
        <f t="shared" si="17"/>
        <v>3</v>
      </c>
      <c r="R33" s="55">
        <f t="shared" si="7"/>
        <v>617656.49688194599</v>
      </c>
      <c r="S33" s="54">
        <f t="shared" si="28"/>
        <v>1823734.4593491782</v>
      </c>
      <c r="T33" s="63">
        <f t="shared" si="18"/>
        <v>3</v>
      </c>
      <c r="U33" s="55">
        <f t="shared" si="19"/>
        <v>648434.18553647248</v>
      </c>
      <c r="V33" s="54">
        <f t="shared" si="29"/>
        <v>3924626.2548422134</v>
      </c>
      <c r="W33" s="63">
        <f t="shared" si="20"/>
        <v>3</v>
      </c>
      <c r="X33" s="55">
        <f t="shared" si="21"/>
        <v>1395412.4823642536</v>
      </c>
      <c r="Y33" s="54">
        <f t="shared" si="30"/>
        <v>9092814.939071469</v>
      </c>
      <c r="Z33" s="63">
        <f t="shared" si="22"/>
        <v>3</v>
      </c>
      <c r="AA33" s="55">
        <f t="shared" si="23"/>
        <v>3232977.2676197439</v>
      </c>
      <c r="AB33" s="56">
        <f t="shared" si="8"/>
        <v>16934340.773656774</v>
      </c>
      <c r="AC33" s="63">
        <f t="shared" si="24"/>
        <v>3</v>
      </c>
      <c r="AD33" s="297">
        <f t="shared" si="9"/>
        <v>5992881.0406493787</v>
      </c>
      <c r="AE33" s="73"/>
      <c r="AF33" s="54">
        <f t="shared" si="32"/>
        <v>42451953.54557611</v>
      </c>
      <c r="AG33" s="63">
        <f t="shared" si="25"/>
        <v>3</v>
      </c>
      <c r="AH33" s="55">
        <f t="shared" si="31"/>
        <v>15638304.1635164</v>
      </c>
      <c r="AO33" s="216">
        <v>500000</v>
      </c>
    </row>
    <row r="34" spans="1:41" s="50" customFormat="1" x14ac:dyDescent="0.25">
      <c r="A34" s="49">
        <f t="shared" si="10"/>
        <v>19</v>
      </c>
      <c r="B34" s="49">
        <f t="shared" si="2"/>
        <v>2033</v>
      </c>
      <c r="C34" s="49">
        <f t="shared" si="0"/>
        <v>2036</v>
      </c>
      <c r="D34" s="54"/>
      <c r="E34" s="63"/>
      <c r="F34" s="56"/>
      <c r="G34" s="56">
        <f t="shared" si="33"/>
        <v>-6801253.1779383309</v>
      </c>
      <c r="H34" s="63">
        <f t="shared" si="5"/>
        <v>2</v>
      </c>
      <c r="I34" s="56">
        <f t="shared" si="34"/>
        <v>-3601219.0434076213</v>
      </c>
      <c r="J34" s="54">
        <f t="shared" si="13"/>
        <v>2797051.6770792436</v>
      </c>
      <c r="K34" s="63">
        <f t="shared" si="14"/>
        <v>2</v>
      </c>
      <c r="L34" s="55">
        <f t="shared" si="6"/>
        <v>1481020.5562655395</v>
      </c>
      <c r="M34" s="54">
        <f t="shared" si="26"/>
        <v>4234634.4432570795</v>
      </c>
      <c r="N34" s="63">
        <f t="shared" si="15"/>
        <v>2</v>
      </c>
      <c r="O34" s="55">
        <f t="shared" si="16"/>
        <v>2221551.1136364532</v>
      </c>
      <c r="P34" s="54">
        <f t="shared" si="27"/>
        <v>1212673.4080234147</v>
      </c>
      <c r="Q34" s="63">
        <f t="shared" si="17"/>
        <v>2</v>
      </c>
      <c r="R34" s="55">
        <f t="shared" si="7"/>
        <v>636186.19178840413</v>
      </c>
      <c r="S34" s="54">
        <f t="shared" si="28"/>
        <v>1273100.6597081032</v>
      </c>
      <c r="T34" s="63">
        <f t="shared" si="18"/>
        <v>2</v>
      </c>
      <c r="U34" s="55">
        <f t="shared" si="19"/>
        <v>667887.21110256645</v>
      </c>
      <c r="V34" s="54">
        <f t="shared" si="29"/>
        <v>2739677.5054249978</v>
      </c>
      <c r="W34" s="63">
        <f t="shared" si="20"/>
        <v>2</v>
      </c>
      <c r="X34" s="55">
        <f t="shared" si="21"/>
        <v>1437274.8568351807</v>
      </c>
      <c r="Y34" s="54">
        <f t="shared" si="30"/>
        <v>6347452.9628982525</v>
      </c>
      <c r="Z34" s="63">
        <f t="shared" si="22"/>
        <v>2</v>
      </c>
      <c r="AA34" s="55">
        <f t="shared" si="23"/>
        <v>3329966.585648336</v>
      </c>
      <c r="AB34" s="56">
        <f t="shared" si="8"/>
        <v>11803337.478452761</v>
      </c>
      <c r="AC34" s="63">
        <f t="shared" si="24"/>
        <v>2</v>
      </c>
      <c r="AD34" s="297">
        <f t="shared" si="9"/>
        <v>6172667.4718688577</v>
      </c>
      <c r="AE34" s="73"/>
      <c r="AF34" s="54">
        <f t="shared" si="32"/>
        <v>29247202.683783788</v>
      </c>
      <c r="AG34" s="63">
        <f t="shared" si="25"/>
        <v>2</v>
      </c>
      <c r="AH34" s="55">
        <f t="shared" si="31"/>
        <v>15638304.163516393</v>
      </c>
      <c r="AO34" s="216">
        <v>500000</v>
      </c>
    </row>
    <row r="35" spans="1:41" s="50" customFormat="1" x14ac:dyDescent="0.25">
      <c r="A35" s="49">
        <f t="shared" si="10"/>
        <v>20</v>
      </c>
      <c r="B35" s="49">
        <f t="shared" si="2"/>
        <v>2034</v>
      </c>
      <c r="C35" s="49">
        <f t="shared" si="0"/>
        <v>2037</v>
      </c>
      <c r="D35" s="54"/>
      <c r="E35" s="63"/>
      <c r="F35" s="56"/>
      <c r="G35" s="56">
        <f t="shared" si="33"/>
        <v>-3577523.7915782509</v>
      </c>
      <c r="H35" s="63">
        <f t="shared" si="5"/>
        <v>1</v>
      </c>
      <c r="I35" s="56">
        <f t="shared" si="34"/>
        <v>-3709255.6147098499</v>
      </c>
      <c r="J35" s="54">
        <f t="shared" si="13"/>
        <v>1471275.7574565292</v>
      </c>
      <c r="K35" s="63">
        <f t="shared" si="14"/>
        <v>1</v>
      </c>
      <c r="L35" s="55">
        <f t="shared" si="6"/>
        <v>1525451.1729535065</v>
      </c>
      <c r="M35" s="54">
        <f t="shared" si="26"/>
        <v>2217270.7649311936</v>
      </c>
      <c r="N35" s="63">
        <f t="shared" si="15"/>
        <v>1</v>
      </c>
      <c r="O35" s="55">
        <f t="shared" si="16"/>
        <v>2288197.6470455457</v>
      </c>
      <c r="P35" s="54">
        <f t="shared" si="27"/>
        <v>634960.42717483721</v>
      </c>
      <c r="Q35" s="63">
        <f t="shared" si="17"/>
        <v>1</v>
      </c>
      <c r="R35" s="55">
        <f t="shared" si="7"/>
        <v>655271.77754205582</v>
      </c>
      <c r="S35" s="54">
        <f t="shared" si="28"/>
        <v>666600.36690539517</v>
      </c>
      <c r="T35" s="63">
        <f t="shared" si="18"/>
        <v>1</v>
      </c>
      <c r="U35" s="55">
        <f t="shared" si="19"/>
        <v>687923.82743564306</v>
      </c>
      <c r="V35" s="54">
        <f t="shared" si="29"/>
        <v>1434505.6036162053</v>
      </c>
      <c r="W35" s="63">
        <f t="shared" si="20"/>
        <v>1</v>
      </c>
      <c r="X35" s="55">
        <f t="shared" si="21"/>
        <v>1480393.1025402355</v>
      </c>
      <c r="Y35" s="54">
        <f t="shared" si="30"/>
        <v>3323550.6098573906</v>
      </c>
      <c r="Z35" s="63">
        <f t="shared" si="22"/>
        <v>1</v>
      </c>
      <c r="AA35" s="55">
        <f t="shared" si="23"/>
        <v>3429865.5832177838</v>
      </c>
      <c r="AB35" s="56">
        <f t="shared" si="8"/>
        <v>6170639.7383632995</v>
      </c>
      <c r="AC35" s="63">
        <f t="shared" si="24"/>
        <v>1</v>
      </c>
      <c r="AD35" s="297">
        <f t="shared" si="9"/>
        <v>6357847.4960249206</v>
      </c>
      <c r="AE35" s="73"/>
      <c r="AF35" s="54">
        <f t="shared" si="32"/>
        <v>15118119.261666013</v>
      </c>
      <c r="AG35" s="63">
        <f t="shared" si="25"/>
        <v>1</v>
      </c>
      <c r="AH35" s="55">
        <f t="shared" si="31"/>
        <v>15638304.163516389</v>
      </c>
      <c r="AO35" s="216">
        <v>500000</v>
      </c>
    </row>
    <row r="36" spans="1:41" s="50" customFormat="1" x14ac:dyDescent="0.25">
      <c r="A36" s="49">
        <f t="shared" si="10"/>
        <v>21</v>
      </c>
      <c r="B36" s="49">
        <f t="shared" si="2"/>
        <v>2035</v>
      </c>
      <c r="C36" s="49">
        <f t="shared" si="0"/>
        <v>2038</v>
      </c>
      <c r="D36" s="54"/>
      <c r="E36" s="63"/>
      <c r="F36" s="56"/>
      <c r="G36" s="56"/>
      <c r="H36" s="63"/>
      <c r="I36" s="56"/>
      <c r="J36" s="54"/>
      <c r="K36" s="63"/>
      <c r="L36" s="55"/>
      <c r="M36" s="54"/>
      <c r="N36" s="63"/>
      <c r="O36" s="55"/>
      <c r="P36" s="54"/>
      <c r="Q36" s="63"/>
      <c r="R36" s="55"/>
      <c r="S36" s="54"/>
      <c r="T36" s="63"/>
      <c r="U36" s="55"/>
      <c r="V36" s="54"/>
      <c r="W36" s="63"/>
      <c r="X36" s="55"/>
      <c r="Y36" s="54"/>
      <c r="Z36" s="63"/>
      <c r="AA36" s="55"/>
      <c r="AB36" s="54"/>
      <c r="AC36" s="63"/>
      <c r="AD36" s="55"/>
      <c r="AE36" s="73"/>
      <c r="AF36" s="54"/>
      <c r="AG36" s="430"/>
      <c r="AH36" s="431"/>
      <c r="AO36" s="216">
        <v>500000</v>
      </c>
    </row>
    <row r="37" spans="1:41" s="50" customFormat="1" x14ac:dyDescent="0.25">
      <c r="A37" s="49">
        <f t="shared" si="10"/>
        <v>22</v>
      </c>
      <c r="B37" s="49">
        <f t="shared" si="2"/>
        <v>2036</v>
      </c>
      <c r="C37" s="49">
        <f t="shared" si="0"/>
        <v>2039</v>
      </c>
      <c r="D37" s="54"/>
      <c r="E37" s="63"/>
      <c r="F37" s="56"/>
      <c r="G37" s="56"/>
      <c r="H37" s="63"/>
      <c r="I37" s="56"/>
      <c r="J37" s="54"/>
      <c r="K37" s="63"/>
      <c r="L37" s="55"/>
      <c r="M37" s="54"/>
      <c r="N37" s="63"/>
      <c r="O37" s="55"/>
      <c r="P37" s="54"/>
      <c r="Q37" s="63"/>
      <c r="R37" s="55"/>
      <c r="S37" s="54"/>
      <c r="T37" s="63"/>
      <c r="U37" s="55"/>
      <c r="V37" s="54"/>
      <c r="W37" s="63"/>
      <c r="X37" s="55"/>
      <c r="Y37" s="54"/>
      <c r="Z37" s="63"/>
      <c r="AA37" s="55"/>
      <c r="AB37" s="54"/>
      <c r="AC37" s="63"/>
      <c r="AD37" s="55"/>
      <c r="AE37" s="73"/>
      <c r="AF37" s="54"/>
      <c r="AG37" s="430"/>
      <c r="AH37" s="431"/>
      <c r="AO37" s="216">
        <v>500000</v>
      </c>
    </row>
    <row r="38" spans="1:41" s="50" customFormat="1" x14ac:dyDescent="0.25">
      <c r="A38" s="49">
        <f t="shared" si="10"/>
        <v>23</v>
      </c>
      <c r="B38" s="49">
        <f t="shared" si="2"/>
        <v>2037</v>
      </c>
      <c r="C38" s="49">
        <f t="shared" si="0"/>
        <v>2040</v>
      </c>
      <c r="D38" s="54"/>
      <c r="E38" s="63"/>
      <c r="F38" s="56"/>
      <c r="G38" s="56"/>
      <c r="H38" s="63"/>
      <c r="I38" s="56"/>
      <c r="J38" s="54"/>
      <c r="K38" s="63"/>
      <c r="L38" s="55"/>
      <c r="M38" s="54"/>
      <c r="N38" s="63"/>
      <c r="O38" s="55"/>
      <c r="P38" s="54"/>
      <c r="Q38" s="63"/>
      <c r="R38" s="55"/>
      <c r="S38" s="54"/>
      <c r="T38" s="63"/>
      <c r="U38" s="55"/>
      <c r="V38" s="54"/>
      <c r="W38" s="63"/>
      <c r="X38" s="55"/>
      <c r="Y38" s="54"/>
      <c r="Z38" s="63"/>
      <c r="AA38" s="55"/>
      <c r="AB38" s="54"/>
      <c r="AC38" s="63"/>
      <c r="AD38" s="55"/>
      <c r="AE38" s="73"/>
      <c r="AF38" s="54"/>
      <c r="AG38" s="430"/>
      <c r="AH38" s="431"/>
      <c r="AO38" s="216">
        <v>500000</v>
      </c>
    </row>
    <row r="39" spans="1:41" s="50" customFormat="1" x14ac:dyDescent="0.25">
      <c r="A39" s="49">
        <f t="shared" si="10"/>
        <v>24</v>
      </c>
      <c r="B39" s="49">
        <f t="shared" si="2"/>
        <v>2038</v>
      </c>
      <c r="C39" s="49">
        <f t="shared" si="0"/>
        <v>2041</v>
      </c>
      <c r="D39" s="54"/>
      <c r="E39" s="63"/>
      <c r="F39" s="56"/>
      <c r="G39" s="56"/>
      <c r="H39" s="63"/>
      <c r="I39" s="56"/>
      <c r="J39" s="54"/>
      <c r="K39" s="63"/>
      <c r="L39" s="55"/>
      <c r="M39" s="54"/>
      <c r="N39" s="63"/>
      <c r="O39" s="55"/>
      <c r="P39" s="54"/>
      <c r="Q39" s="63"/>
      <c r="R39" s="55"/>
      <c r="S39" s="54"/>
      <c r="T39" s="63"/>
      <c r="U39" s="55"/>
      <c r="V39" s="54"/>
      <c r="W39" s="63"/>
      <c r="X39" s="55"/>
      <c r="Y39" s="54"/>
      <c r="Z39" s="63"/>
      <c r="AA39" s="55"/>
      <c r="AB39" s="54"/>
      <c r="AC39" s="63"/>
      <c r="AD39" s="55"/>
      <c r="AE39" s="73"/>
      <c r="AF39" s="54"/>
      <c r="AG39" s="430"/>
      <c r="AH39" s="431"/>
      <c r="AO39" s="216">
        <v>500000</v>
      </c>
    </row>
    <row r="40" spans="1:41" s="50" customFormat="1" x14ac:dyDescent="0.25">
      <c r="A40" s="49">
        <f t="shared" si="10"/>
        <v>25</v>
      </c>
      <c r="B40" s="49">
        <f t="shared" si="2"/>
        <v>2039</v>
      </c>
      <c r="C40" s="49">
        <f t="shared" si="0"/>
        <v>2042</v>
      </c>
      <c r="D40" s="54"/>
      <c r="E40" s="63"/>
      <c r="F40" s="56"/>
      <c r="G40" s="56"/>
      <c r="H40" s="63"/>
      <c r="I40" s="56"/>
      <c r="J40" s="54"/>
      <c r="K40" s="63"/>
      <c r="L40" s="55"/>
      <c r="M40" s="54"/>
      <c r="N40" s="63"/>
      <c r="O40" s="55"/>
      <c r="P40" s="54"/>
      <c r="Q40" s="63"/>
      <c r="R40" s="55"/>
      <c r="S40" s="54"/>
      <c r="T40" s="63"/>
      <c r="U40" s="55"/>
      <c r="V40" s="54"/>
      <c r="W40" s="63"/>
      <c r="X40" s="55"/>
      <c r="Y40" s="54"/>
      <c r="Z40" s="63"/>
      <c r="AA40" s="55"/>
      <c r="AB40" s="54"/>
      <c r="AC40" s="63"/>
      <c r="AD40" s="55"/>
      <c r="AE40" s="73"/>
      <c r="AF40" s="54"/>
      <c r="AG40" s="430"/>
      <c r="AH40" s="431"/>
      <c r="AO40" s="216">
        <v>500000</v>
      </c>
    </row>
    <row r="41" spans="1:41" s="50" customFormat="1" x14ac:dyDescent="0.25">
      <c r="A41" s="49">
        <f t="shared" si="10"/>
        <v>26</v>
      </c>
      <c r="B41" s="49">
        <f t="shared" si="2"/>
        <v>2040</v>
      </c>
      <c r="C41" s="49">
        <f t="shared" si="0"/>
        <v>2043</v>
      </c>
      <c r="D41" s="54"/>
      <c r="E41" s="63"/>
      <c r="F41" s="56"/>
      <c r="G41" s="56"/>
      <c r="H41" s="63"/>
      <c r="I41" s="56"/>
      <c r="J41" s="54"/>
      <c r="K41" s="63"/>
      <c r="L41" s="55"/>
      <c r="M41" s="54"/>
      <c r="N41" s="63"/>
      <c r="O41" s="55"/>
      <c r="P41" s="54"/>
      <c r="Q41" s="63"/>
      <c r="R41" s="55"/>
      <c r="S41" s="54"/>
      <c r="T41" s="63"/>
      <c r="U41" s="55"/>
      <c r="V41" s="54"/>
      <c r="W41" s="63"/>
      <c r="X41" s="55"/>
      <c r="Y41" s="54"/>
      <c r="Z41" s="63"/>
      <c r="AA41" s="55"/>
      <c r="AB41" s="54"/>
      <c r="AC41" s="63"/>
      <c r="AD41" s="55"/>
      <c r="AE41" s="73"/>
      <c r="AF41" s="54"/>
      <c r="AG41" s="430"/>
      <c r="AH41" s="431"/>
      <c r="AO41" s="216">
        <v>500000</v>
      </c>
    </row>
    <row r="42" spans="1:41" s="50" customFormat="1" x14ac:dyDescent="0.25">
      <c r="A42" s="49">
        <f t="shared" si="10"/>
        <v>27</v>
      </c>
      <c r="B42" s="49">
        <f t="shared" si="2"/>
        <v>2041</v>
      </c>
      <c r="C42" s="49">
        <f t="shared" si="0"/>
        <v>2044</v>
      </c>
      <c r="D42" s="54"/>
      <c r="E42" s="63"/>
      <c r="F42" s="56"/>
      <c r="G42" s="56"/>
      <c r="H42" s="63"/>
      <c r="I42" s="56"/>
      <c r="J42" s="54"/>
      <c r="K42" s="63"/>
      <c r="L42" s="55"/>
      <c r="M42" s="54"/>
      <c r="N42" s="63"/>
      <c r="O42" s="55"/>
      <c r="P42" s="54"/>
      <c r="Q42" s="63"/>
      <c r="R42" s="55"/>
      <c r="S42" s="54"/>
      <c r="T42" s="63"/>
      <c r="U42" s="55"/>
      <c r="V42" s="54"/>
      <c r="W42" s="63"/>
      <c r="X42" s="55"/>
      <c r="Y42" s="54"/>
      <c r="Z42" s="63"/>
      <c r="AA42" s="55"/>
      <c r="AB42" s="54"/>
      <c r="AC42" s="63"/>
      <c r="AD42" s="55"/>
      <c r="AE42" s="73"/>
      <c r="AF42" s="54"/>
      <c r="AG42" s="430"/>
      <c r="AH42" s="431"/>
      <c r="AO42" s="216">
        <v>500000</v>
      </c>
    </row>
    <row r="43" spans="1:41" s="50" customFormat="1" x14ac:dyDescent="0.25">
      <c r="A43" s="49">
        <f t="shared" si="10"/>
        <v>28</v>
      </c>
      <c r="B43" s="49">
        <f t="shared" si="2"/>
        <v>2042</v>
      </c>
      <c r="C43" s="49">
        <f t="shared" si="0"/>
        <v>2045</v>
      </c>
      <c r="D43" s="54"/>
      <c r="E43" s="63"/>
      <c r="F43" s="56"/>
      <c r="G43" s="56"/>
      <c r="H43" s="63"/>
      <c r="I43" s="56"/>
      <c r="J43" s="54"/>
      <c r="K43" s="63"/>
      <c r="L43" s="55"/>
      <c r="M43" s="54"/>
      <c r="N43" s="63"/>
      <c r="O43" s="55"/>
      <c r="P43" s="54"/>
      <c r="Q43" s="63"/>
      <c r="R43" s="55"/>
      <c r="S43" s="54"/>
      <c r="T43" s="63"/>
      <c r="U43" s="55"/>
      <c r="V43" s="54"/>
      <c r="W43" s="63"/>
      <c r="X43" s="55"/>
      <c r="Y43" s="54"/>
      <c r="Z43" s="63"/>
      <c r="AA43" s="55"/>
      <c r="AB43" s="54"/>
      <c r="AC43" s="63"/>
      <c r="AD43" s="55"/>
      <c r="AE43" s="73"/>
      <c r="AF43" s="54"/>
      <c r="AG43" s="430"/>
      <c r="AH43" s="431"/>
      <c r="AO43" s="216">
        <v>500000</v>
      </c>
    </row>
    <row r="44" spans="1:41" x14ac:dyDescent="0.25">
      <c r="A44" s="49">
        <f t="shared" si="10"/>
        <v>29</v>
      </c>
      <c r="B44" s="49">
        <f t="shared" si="2"/>
        <v>2043</v>
      </c>
      <c r="C44" s="49">
        <f t="shared" si="0"/>
        <v>2046</v>
      </c>
      <c r="D44" s="54"/>
      <c r="E44" s="63"/>
      <c r="F44" s="56"/>
      <c r="G44" s="56"/>
      <c r="H44" s="63"/>
      <c r="I44" s="56"/>
      <c r="J44" s="54"/>
      <c r="K44" s="63"/>
      <c r="L44" s="55"/>
      <c r="M44" s="54"/>
      <c r="N44" s="63"/>
      <c r="O44" s="55"/>
      <c r="P44" s="54"/>
      <c r="Q44" s="63"/>
      <c r="R44" s="55"/>
      <c r="S44" s="54"/>
      <c r="T44" s="63"/>
      <c r="U44" s="55"/>
      <c r="V44" s="54"/>
      <c r="W44" s="63"/>
      <c r="X44" s="55"/>
      <c r="Y44" s="54"/>
      <c r="Z44" s="63"/>
      <c r="AA44" s="55"/>
      <c r="AB44" s="54"/>
      <c r="AC44" s="63"/>
      <c r="AD44" s="55"/>
      <c r="AF44" s="54"/>
      <c r="AG44" s="430"/>
      <c r="AH44" s="431"/>
      <c r="AO44" s="216">
        <v>500000</v>
      </c>
    </row>
    <row r="45" spans="1:41" x14ac:dyDescent="0.25">
      <c r="A45" s="49">
        <f t="shared" si="10"/>
        <v>30</v>
      </c>
      <c r="B45" s="49">
        <f t="shared" si="2"/>
        <v>2044</v>
      </c>
      <c r="C45" s="49">
        <f t="shared" si="0"/>
        <v>2047</v>
      </c>
      <c r="D45" s="54"/>
      <c r="E45" s="63"/>
      <c r="F45" s="56"/>
      <c r="G45" s="56"/>
      <c r="H45" s="63"/>
      <c r="I45" s="56"/>
      <c r="J45" s="54"/>
      <c r="K45" s="63"/>
      <c r="L45" s="55"/>
      <c r="M45" s="54"/>
      <c r="N45" s="63"/>
      <c r="O45" s="55"/>
      <c r="P45" s="54"/>
      <c r="Q45" s="63"/>
      <c r="R45" s="55"/>
      <c r="S45" s="54"/>
      <c r="T45" s="63"/>
      <c r="U45" s="55"/>
      <c r="V45" s="54"/>
      <c r="W45" s="63"/>
      <c r="X45" s="55"/>
      <c r="Y45" s="54"/>
      <c r="Z45" s="63"/>
      <c r="AA45" s="55"/>
      <c r="AB45" s="54"/>
      <c r="AC45" s="63"/>
      <c r="AD45" s="55"/>
      <c r="AF45" s="54"/>
      <c r="AG45" s="430"/>
      <c r="AH45" s="431"/>
      <c r="AO45" s="216">
        <v>500000</v>
      </c>
    </row>
    <row r="46" spans="1:41" x14ac:dyDescent="0.25">
      <c r="C46" s="56"/>
      <c r="D46" s="57"/>
      <c r="E46" s="68"/>
      <c r="F46" s="59"/>
      <c r="G46" s="57"/>
      <c r="H46" s="68"/>
      <c r="I46" s="59"/>
      <c r="J46" s="60"/>
      <c r="K46" s="61"/>
      <c r="L46" s="62"/>
      <c r="M46" s="60"/>
      <c r="N46" s="61"/>
      <c r="O46" s="62"/>
      <c r="P46" s="60"/>
      <c r="Q46" s="61"/>
      <c r="R46" s="62"/>
      <c r="S46" s="60"/>
      <c r="T46" s="61"/>
      <c r="U46" s="62"/>
      <c r="V46" s="60"/>
      <c r="W46" s="61"/>
      <c r="X46" s="62"/>
      <c r="Y46" s="60"/>
      <c r="Z46" s="61"/>
      <c r="AA46" s="62"/>
      <c r="AB46" s="67"/>
      <c r="AC46" s="67"/>
      <c r="AD46" s="298"/>
      <c r="AF46" s="66"/>
      <c r="AG46" s="67"/>
      <c r="AH46" s="298"/>
    </row>
    <row r="47" spans="1:41" x14ac:dyDescent="0.25">
      <c r="C47" s="47"/>
      <c r="AB47" s="49" t="s">
        <v>81</v>
      </c>
      <c r="AD47" s="47">
        <f>SUM(AD16:AD46)</f>
        <v>313463751.5473296</v>
      </c>
      <c r="AF47" s="49" t="s">
        <v>81</v>
      </c>
      <c r="AH47" s="47">
        <f>SUM(AH16:AH46)</f>
        <v>314108113.68398118</v>
      </c>
    </row>
    <row r="48" spans="1:41" x14ac:dyDescent="0.25">
      <c r="B48" s="215">
        <v>0</v>
      </c>
      <c r="C48" s="52"/>
      <c r="D48" s="56"/>
      <c r="E48" s="49" t="s">
        <v>152</v>
      </c>
      <c r="AB48" s="49" t="s">
        <v>86</v>
      </c>
      <c r="AD48" s="48">
        <f>NPV(0.03,AD16:AD45)</f>
        <v>234255063.83270761</v>
      </c>
      <c r="AF48" s="73"/>
      <c r="AH48" s="48">
        <f>NPV(0.03,AH16:AH45)</f>
        <v>233932533.96017733</v>
      </c>
    </row>
    <row r="49" spans="2:34" x14ac:dyDescent="0.25">
      <c r="B49" s="215">
        <v>-1</v>
      </c>
      <c r="C49" s="52"/>
      <c r="D49" s="274"/>
      <c r="E49" s="49" t="s">
        <v>153</v>
      </c>
    </row>
    <row r="50" spans="2:34" x14ac:dyDescent="0.25">
      <c r="B50" s="215">
        <v>1</v>
      </c>
      <c r="C50" s="52"/>
      <c r="D50" s="56"/>
      <c r="E50" s="49" t="s">
        <v>154</v>
      </c>
      <c r="AG50" s="106" t="s">
        <v>228</v>
      </c>
      <c r="AH50" s="47">
        <f>AD47-AH47</f>
        <v>-644362.13665157557</v>
      </c>
    </row>
    <row r="51" spans="2:34" x14ac:dyDescent="0.25">
      <c r="AG51" s="106" t="s">
        <v>227</v>
      </c>
      <c r="AH51" s="47">
        <f>AD48-AH48</f>
        <v>322529.87253028154</v>
      </c>
    </row>
  </sheetData>
  <mergeCells count="14">
    <mergeCell ref="AF5:AK5"/>
    <mergeCell ref="AB11:AD11"/>
    <mergeCell ref="D12:F12"/>
    <mergeCell ref="G12:I12"/>
    <mergeCell ref="J12:L12"/>
    <mergeCell ref="M12:O12"/>
    <mergeCell ref="P12:R12"/>
    <mergeCell ref="S12:U12"/>
    <mergeCell ref="V12:X12"/>
    <mergeCell ref="AB12:AD12"/>
    <mergeCell ref="Y12:AA12"/>
    <mergeCell ref="Y11:AA11"/>
    <mergeCell ref="AF11:AH11"/>
    <mergeCell ref="AF12:AH12"/>
  </mergeCells>
  <conditionalFormatting sqref="D17">
    <cfRule type="cellIs" dxfId="287" priority="46" operator="greaterThanOrEqual">
      <formula>D16</formula>
    </cfRule>
    <cfRule type="cellIs" dxfId="286" priority="47" operator="greaterThan">
      <formula>D$16</formula>
    </cfRule>
    <cfRule type="cellIs" dxfId="285" priority="48" operator="lessThanOrEqual">
      <formula>D$16</formula>
    </cfRule>
  </conditionalFormatting>
  <conditionalFormatting sqref="D18:D32">
    <cfRule type="cellIs" dxfId="284" priority="43" operator="greaterThanOrEqual">
      <formula>D17</formula>
    </cfRule>
    <cfRule type="cellIs" dxfId="283" priority="44" operator="greaterThan">
      <formula>D$16</formula>
    </cfRule>
    <cfRule type="cellIs" dxfId="282" priority="45" operator="lessThanOrEqual">
      <formula>D$16</formula>
    </cfRule>
  </conditionalFormatting>
  <conditionalFormatting sqref="D48">
    <cfRule type="cellIs" dxfId="281" priority="40" operator="greaterThanOrEqual">
      <formula>B48</formula>
    </cfRule>
    <cfRule type="cellIs" dxfId="280" priority="41" operator="greaterThan">
      <formula>B49</formula>
    </cfRule>
    <cfRule type="cellIs" dxfId="279" priority="42" operator="lessThanOrEqual">
      <formula>51</formula>
    </cfRule>
  </conditionalFormatting>
  <conditionalFormatting sqref="AB18:AB35">
    <cfRule type="cellIs" dxfId="278" priority="34" operator="greaterThanOrEqual">
      <formula>AB17</formula>
    </cfRule>
    <cfRule type="cellIs" dxfId="277" priority="35" operator="greaterThan">
      <formula>AB$16</formula>
    </cfRule>
    <cfRule type="cellIs" dxfId="276" priority="36" operator="lessThanOrEqual">
      <formula>AB$16</formula>
    </cfRule>
  </conditionalFormatting>
  <conditionalFormatting sqref="M17:M35">
    <cfRule type="cellIs" dxfId="275" priority="31" operator="greaterThanOrEqual">
      <formula>M16</formula>
    </cfRule>
    <cfRule type="cellIs" dxfId="274" priority="32" operator="greaterThan">
      <formula>M$16</formula>
    </cfRule>
    <cfRule type="cellIs" dxfId="273" priority="33" operator="lessThanOrEqual">
      <formula>M$16</formula>
    </cfRule>
  </conditionalFormatting>
  <conditionalFormatting sqref="AB17">
    <cfRule type="cellIs" dxfId="272" priority="37" operator="greaterThanOrEqual">
      <formula>AB16</formula>
    </cfRule>
    <cfRule type="cellIs" dxfId="271" priority="38" operator="greaterThan">
      <formula>AB$16</formula>
    </cfRule>
    <cfRule type="cellIs" dxfId="270" priority="39" operator="lessThanOrEqual">
      <formula>AB$16</formula>
    </cfRule>
  </conditionalFormatting>
  <conditionalFormatting sqref="J18:J35">
    <cfRule type="cellIs" dxfId="269" priority="25" operator="greaterThanOrEqual">
      <formula>J17</formula>
    </cfRule>
    <cfRule type="cellIs" dxfId="268" priority="26" operator="greaterThan">
      <formula>J$16</formula>
    </cfRule>
    <cfRule type="cellIs" dxfId="267" priority="27" operator="lessThanOrEqual">
      <formula>J$16</formula>
    </cfRule>
  </conditionalFormatting>
  <conditionalFormatting sqref="J17">
    <cfRule type="cellIs" dxfId="266" priority="28" operator="greaterThanOrEqual">
      <formula>J16</formula>
    </cfRule>
    <cfRule type="cellIs" dxfId="265" priority="29" operator="greaterThan">
      <formula>J$16</formula>
    </cfRule>
    <cfRule type="cellIs" dxfId="264" priority="30" operator="lessThanOrEqual">
      <formula>J$16</formula>
    </cfRule>
  </conditionalFormatting>
  <conditionalFormatting sqref="D50">
    <cfRule type="cellIs" dxfId="263" priority="53" operator="greaterThanOrEqual">
      <formula>B50</formula>
    </cfRule>
    <cfRule type="cellIs" dxfId="262" priority="54" operator="greaterThan">
      <formula>D48</formula>
    </cfRule>
    <cfRule type="cellIs" dxfId="261" priority="55" operator="lessThanOrEqual">
      <formula>51</formula>
    </cfRule>
  </conditionalFormatting>
  <conditionalFormatting sqref="S17:S35">
    <cfRule type="cellIs" dxfId="260" priority="19" operator="greaterThanOrEqual">
      <formula>S16</formula>
    </cfRule>
    <cfRule type="cellIs" dxfId="259" priority="20" operator="greaterThan">
      <formula>S$16</formula>
    </cfRule>
    <cfRule type="cellIs" dxfId="258" priority="21" operator="lessThanOrEqual">
      <formula>S$16</formula>
    </cfRule>
  </conditionalFormatting>
  <conditionalFormatting sqref="P17:P35">
    <cfRule type="cellIs" dxfId="257" priority="22" operator="greaterThanOrEqual">
      <formula>P16</formula>
    </cfRule>
    <cfRule type="cellIs" dxfId="256" priority="23" operator="greaterThan">
      <formula>P$16</formula>
    </cfRule>
    <cfRule type="cellIs" dxfId="255" priority="24" operator="lessThanOrEqual">
      <formula>P$16</formula>
    </cfRule>
  </conditionalFormatting>
  <conditionalFormatting sqref="V17:V35">
    <cfRule type="cellIs" dxfId="254" priority="16" operator="greaterThanOrEqual">
      <formula>V16</formula>
    </cfRule>
    <cfRule type="cellIs" dxfId="253" priority="17" operator="greaterThan">
      <formula>V$16</formula>
    </cfRule>
    <cfRule type="cellIs" dxfId="252" priority="18" operator="lessThanOrEqual">
      <formula>V$16</formula>
    </cfRule>
  </conditionalFormatting>
  <conditionalFormatting sqref="Y17:Y35">
    <cfRule type="cellIs" dxfId="251" priority="13" operator="greaterThanOrEqual">
      <formula>Y16</formula>
    </cfRule>
    <cfRule type="cellIs" dxfId="250" priority="14" operator="greaterThan">
      <formula>Y$16</formula>
    </cfRule>
    <cfRule type="cellIs" dxfId="249" priority="15" operator="lessThanOrEqual">
      <formula>Y$16</formula>
    </cfRule>
  </conditionalFormatting>
  <conditionalFormatting sqref="G17:G45">
    <cfRule type="cellIs" dxfId="248" priority="7" operator="greaterThanOrEqual">
      <formula>G16</formula>
    </cfRule>
    <cfRule type="cellIs" dxfId="247" priority="8" operator="greaterThan">
      <formula>G$16</formula>
    </cfRule>
    <cfRule type="cellIs" dxfId="246" priority="9" operator="lessThanOrEqual">
      <formula>G$16</formula>
    </cfRule>
  </conditionalFormatting>
  <conditionalFormatting sqref="G16">
    <cfRule type="cellIs" dxfId="245" priority="10" operator="greaterThanOrEqual">
      <formula>G15</formula>
    </cfRule>
    <cfRule type="cellIs" dxfId="244" priority="11" operator="greaterThan">
      <formula>G$16</formula>
    </cfRule>
    <cfRule type="cellIs" dxfId="243" priority="12" operator="lessThanOrEqual">
      <formula>G$16</formula>
    </cfRule>
  </conditionalFormatting>
  <conditionalFormatting sqref="AF18:AF35">
    <cfRule type="cellIs" dxfId="242" priority="1" operator="greaterThanOrEqual">
      <formula>AF17</formula>
    </cfRule>
    <cfRule type="cellIs" dxfId="241" priority="2" operator="greaterThan">
      <formula>AF$16</formula>
    </cfRule>
    <cfRule type="cellIs" dxfId="240" priority="3" operator="lessThanOrEqual">
      <formula>AF$16</formula>
    </cfRule>
  </conditionalFormatting>
  <conditionalFormatting sqref="AF17">
    <cfRule type="cellIs" dxfId="239" priority="4" operator="greaterThanOrEqual">
      <formula>AF16</formula>
    </cfRule>
    <cfRule type="cellIs" dxfId="238" priority="5" operator="greaterThan">
      <formula>AF$16</formula>
    </cfRule>
    <cfRule type="cellIs" dxfId="237" priority="6" operator="lessThanOrEqual">
      <formula>AF$16</formula>
    </cfRule>
  </conditionalFormatting>
  <pageMargins left="0.25" right="0.25" top="0.25" bottom="0.25" header="0.3" footer="0.3"/>
  <pageSetup scale="42" orientation="landscape" r:id="rId1"/>
  <headerFooter differentFirst="1">
    <oddFooter>&amp;R&amp;P</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4:AE54"/>
  <sheetViews>
    <sheetView topLeftCell="D4" zoomScale="90" zoomScaleNormal="90" workbookViewId="0">
      <selection activeCell="O44" sqref="O44"/>
    </sheetView>
  </sheetViews>
  <sheetFormatPr defaultColWidth="9.140625" defaultRowHeight="15" x14ac:dyDescent="0.25"/>
  <cols>
    <col min="1" max="1" width="3.5703125" style="49" customWidth="1"/>
    <col min="2" max="2" width="5.5703125" style="49" bestFit="1" customWidth="1"/>
    <col min="3" max="3" width="20" style="49" bestFit="1" customWidth="1"/>
    <col min="4" max="4" width="4.85546875" style="49" bestFit="1" customWidth="1"/>
    <col min="5" max="5" width="14.5703125" style="49" bestFit="1" customWidth="1"/>
    <col min="6" max="6" width="15" style="50" bestFit="1" customWidth="1"/>
    <col min="7" max="7" width="15.28515625" style="49" bestFit="1" customWidth="1"/>
    <col min="8" max="8" width="5" style="49" customWidth="1"/>
    <col min="9" max="9" width="17" style="49" customWidth="1"/>
    <col min="10" max="10" width="6.28515625" style="49" bestFit="1" customWidth="1"/>
    <col min="11" max="11" width="16" style="49" bestFit="1" customWidth="1"/>
    <col min="12" max="12" width="13.7109375" style="49" hidden="1" customWidth="1"/>
    <col min="13" max="13" width="15" style="50" hidden="1" customWidth="1"/>
    <col min="14" max="14" width="9.5703125" style="49" customWidth="1"/>
    <col min="15" max="15" width="20.140625" style="49" bestFit="1" customWidth="1"/>
    <col min="16" max="16" width="6.28515625" style="49" bestFit="1" customWidth="1"/>
    <col min="17" max="17" width="14.5703125" style="49" bestFit="1" customWidth="1"/>
    <col min="18" max="18" width="13.7109375" style="49" customWidth="1"/>
    <col min="19" max="19" width="15" style="49" hidden="1" customWidth="1"/>
    <col min="20" max="20" width="10.5703125" style="49" customWidth="1"/>
    <col min="21" max="21" width="20.140625" style="49" bestFit="1" customWidth="1"/>
    <col min="22" max="22" width="6.28515625" style="49" bestFit="1" customWidth="1"/>
    <col min="23" max="23" width="14.5703125" style="49" bestFit="1" customWidth="1"/>
    <col min="24" max="25" width="13.7109375" style="49" hidden="1" customWidth="1"/>
    <col min="26" max="26" width="10.140625" style="49" customWidth="1"/>
    <col min="27" max="28" width="13.7109375" style="49" customWidth="1"/>
    <col min="29" max="29" width="3" style="49" customWidth="1"/>
    <col min="30" max="30" width="14.28515625" style="73" bestFit="1" customWidth="1"/>
    <col min="31" max="31" width="11.5703125" style="49" bestFit="1" customWidth="1"/>
    <col min="32" max="16384" width="9.140625" style="49"/>
  </cols>
  <sheetData>
    <row r="4" spans="1:31" ht="26.25" x14ac:dyDescent="0.4">
      <c r="C4" s="214" t="s">
        <v>125</v>
      </c>
    </row>
    <row r="7" spans="1:31" ht="18.75" x14ac:dyDescent="0.3">
      <c r="C7" s="548" t="s">
        <v>88</v>
      </c>
      <c r="D7" s="549"/>
      <c r="E7" s="549"/>
      <c r="F7" s="549"/>
      <c r="G7" s="550"/>
      <c r="X7" s="104"/>
      <c r="Y7" s="104"/>
      <c r="Z7" s="104"/>
      <c r="AA7" s="104"/>
      <c r="AB7" s="104"/>
    </row>
    <row r="8" spans="1:31" ht="21" x14ac:dyDescent="0.35">
      <c r="C8" s="603" t="s">
        <v>126</v>
      </c>
      <c r="D8" s="604"/>
      <c r="E8" s="604"/>
      <c r="F8" s="604"/>
      <c r="G8" s="605"/>
      <c r="I8" s="606" t="s">
        <v>79</v>
      </c>
      <c r="J8" s="607"/>
      <c r="K8" s="607"/>
      <c r="L8" s="607"/>
      <c r="M8" s="607"/>
      <c r="N8" s="607"/>
      <c r="O8" s="607"/>
      <c r="P8" s="607"/>
      <c r="Q8" s="607"/>
      <c r="R8" s="607"/>
      <c r="S8" s="607"/>
      <c r="T8" s="607"/>
      <c r="U8" s="607"/>
      <c r="V8" s="607"/>
      <c r="W8" s="607"/>
      <c r="X8" s="607"/>
      <c r="Y8" s="607"/>
      <c r="Z8" s="608"/>
    </row>
    <row r="9" spans="1:31" x14ac:dyDescent="0.25">
      <c r="C9" s="565" t="s">
        <v>87</v>
      </c>
      <c r="D9" s="566"/>
      <c r="E9" s="566"/>
      <c r="F9" s="566"/>
      <c r="G9" s="567"/>
      <c r="I9" s="568" t="s">
        <v>134</v>
      </c>
      <c r="J9" s="569"/>
      <c r="K9" s="569"/>
      <c r="L9" s="569"/>
      <c r="M9" s="569"/>
      <c r="N9" s="570"/>
      <c r="O9" s="568" t="s">
        <v>135</v>
      </c>
      <c r="P9" s="569"/>
      <c r="Q9" s="569"/>
      <c r="R9" s="569"/>
      <c r="S9" s="569"/>
      <c r="T9" s="570"/>
      <c r="U9" s="568" t="s">
        <v>136</v>
      </c>
      <c r="V9" s="569"/>
      <c r="W9" s="569"/>
      <c r="X9" s="569"/>
      <c r="Y9" s="569"/>
      <c r="Z9" s="570"/>
      <c r="AA9" s="108"/>
      <c r="AB9" s="108"/>
      <c r="AC9" s="53"/>
    </row>
    <row r="10" spans="1:31" x14ac:dyDescent="0.25">
      <c r="C10" s="122" t="s">
        <v>49</v>
      </c>
      <c r="D10" s="123" t="s">
        <v>52</v>
      </c>
      <c r="E10" s="123" t="s">
        <v>51</v>
      </c>
      <c r="F10" s="118" t="s">
        <v>77</v>
      </c>
      <c r="G10" s="119" t="s">
        <v>78</v>
      </c>
      <c r="I10" s="130" t="s">
        <v>49</v>
      </c>
      <c r="J10" s="131" t="s">
        <v>50</v>
      </c>
      <c r="K10" s="131" t="s">
        <v>51</v>
      </c>
      <c r="L10" s="131" t="s">
        <v>83</v>
      </c>
      <c r="M10" s="118" t="s">
        <v>77</v>
      </c>
      <c r="N10" s="119" t="s">
        <v>78</v>
      </c>
      <c r="O10" s="87" t="s">
        <v>49</v>
      </c>
      <c r="P10" s="88" t="s">
        <v>50</v>
      </c>
      <c r="Q10" s="88" t="s">
        <v>51</v>
      </c>
      <c r="R10" s="88" t="s">
        <v>83</v>
      </c>
      <c r="S10" s="118" t="s">
        <v>77</v>
      </c>
      <c r="T10" s="89" t="s">
        <v>78</v>
      </c>
      <c r="U10" s="87" t="s">
        <v>49</v>
      </c>
      <c r="V10" s="88" t="s">
        <v>50</v>
      </c>
      <c r="W10" s="88" t="s">
        <v>51</v>
      </c>
      <c r="X10" s="88" t="s">
        <v>83</v>
      </c>
      <c r="Y10" s="118" t="s">
        <v>77</v>
      </c>
      <c r="Z10" s="89" t="s">
        <v>78</v>
      </c>
      <c r="AA10" s="88"/>
      <c r="AB10" s="88"/>
      <c r="AC10" s="53"/>
    </row>
    <row r="11" spans="1:31" x14ac:dyDescent="0.25">
      <c r="B11" s="49">
        <v>2013</v>
      </c>
      <c r="C11" s="124">
        <f>'Misc Curr Schd w2016Loss &amp; DC'!Y14</f>
        <v>101203363</v>
      </c>
      <c r="D11" s="125"/>
      <c r="E11" s="129">
        <f>'Misc Curr Schd w2016Loss &amp; DC'!AA14</f>
        <v>0</v>
      </c>
      <c r="F11" s="71">
        <f>'Misc Curr Schd w2016Loss &amp; DC'!AB14</f>
        <v>0</v>
      </c>
      <c r="G11" s="113">
        <f>'Misc Curr Schd w2016Loss &amp; DC'!AC14</f>
        <v>0</v>
      </c>
      <c r="I11" s="54">
        <v>94748969</v>
      </c>
      <c r="J11" s="88"/>
      <c r="K11" s="88"/>
      <c r="L11" s="88"/>
      <c r="M11" s="63">
        <f>$F11</f>
        <v>0</v>
      </c>
      <c r="N11" s="109" t="e">
        <f t="shared" ref="N11:N32" si="0">(M11-I11)/M11</f>
        <v>#DIV/0!</v>
      </c>
      <c r="O11" s="117">
        <v>94748969</v>
      </c>
      <c r="P11" s="115"/>
      <c r="Q11" s="115"/>
      <c r="R11" s="115"/>
      <c r="S11" s="63">
        <f>$F11</f>
        <v>0</v>
      </c>
      <c r="T11" s="113" t="e">
        <f t="shared" ref="T11:T28" si="1">(S11-O11)/S11</f>
        <v>#DIV/0!</v>
      </c>
      <c r="U11" s="117">
        <v>94748969</v>
      </c>
      <c r="V11" s="115"/>
      <c r="W11" s="115"/>
      <c r="X11" s="115"/>
      <c r="Y11" s="63">
        <f>$F11</f>
        <v>0</v>
      </c>
      <c r="Z11" s="113" t="e">
        <f t="shared" ref="Z11:Z23" si="2">(Y11-U11)/Y11</f>
        <v>#DIV/0!</v>
      </c>
      <c r="AA11" s="88"/>
      <c r="AB11" s="88"/>
      <c r="AC11" s="53"/>
    </row>
    <row r="12" spans="1:31" ht="15.75" thickBot="1" x14ac:dyDescent="0.3">
      <c r="B12" s="49">
        <v>2014</v>
      </c>
      <c r="C12" s="92">
        <f>'Misc Curr Schd w2016Loss &amp; DC'!Y15</f>
        <v>100876936</v>
      </c>
      <c r="D12" s="78"/>
      <c r="E12" s="132">
        <f>'Misc Curr Schd w2016Loss &amp; DC'!AA15</f>
        <v>0</v>
      </c>
      <c r="F12" s="68">
        <f>'Misc Curr Schd w2016Loss &amp; DC'!AB15</f>
        <v>0</v>
      </c>
      <c r="G12" s="112">
        <f>'Misc Curr Schd w2016Loss &amp; DC'!AC15</f>
        <v>0</v>
      </c>
      <c r="I12" s="57">
        <v>97814567</v>
      </c>
      <c r="J12" s="75"/>
      <c r="K12" s="75"/>
      <c r="L12" s="75"/>
      <c r="M12" s="68">
        <f t="shared" ref="M12:M32" si="3">$F12</f>
        <v>0</v>
      </c>
      <c r="N12" s="112" t="e">
        <f t="shared" si="0"/>
        <v>#DIV/0!</v>
      </c>
      <c r="O12" s="57">
        <v>97814567</v>
      </c>
      <c r="P12" s="75"/>
      <c r="Q12" s="75"/>
      <c r="R12" s="75"/>
      <c r="S12" s="68">
        <f t="shared" ref="S12:S28" si="4">$F12</f>
        <v>0</v>
      </c>
      <c r="T12" s="112" t="e">
        <f t="shared" si="1"/>
        <v>#DIV/0!</v>
      </c>
      <c r="U12" s="57">
        <v>97814567</v>
      </c>
      <c r="V12" s="75"/>
      <c r="W12" s="75"/>
      <c r="X12" s="75"/>
      <c r="Y12" s="68">
        <f t="shared" ref="Y12:Y23" si="5">$F12</f>
        <v>0</v>
      </c>
      <c r="Z12" s="112" t="e">
        <f t="shared" si="2"/>
        <v>#DIV/0!</v>
      </c>
      <c r="AA12" s="88"/>
      <c r="AB12" s="88"/>
      <c r="AC12" s="53"/>
    </row>
    <row r="13" spans="1:31" ht="16.5" thickTop="1" thickBot="1" x14ac:dyDescent="0.3">
      <c r="A13" s="49">
        <v>1</v>
      </c>
      <c r="B13" s="49">
        <v>2016</v>
      </c>
      <c r="C13" s="200">
        <f>'Misc Curr Schd w2016Loss &amp; DC'!Y16</f>
        <v>129715666.53782773</v>
      </c>
      <c r="D13" s="70">
        <f>'Misc Curr Schd w2016Loss &amp; DC'!Z16</f>
        <v>30</v>
      </c>
      <c r="E13" s="65">
        <f>'Misc Curr Schd w2016Loss &amp; DC'!AA16</f>
        <v>9314382.9824423324</v>
      </c>
      <c r="F13" s="63">
        <f>'Misc Curr Schd w2016Loss &amp; DC'!AB16</f>
        <v>0</v>
      </c>
      <c r="G13" s="109">
        <f>'Misc Curr Schd w2016Loss &amp; DC'!AC16</f>
        <v>0</v>
      </c>
      <c r="I13" s="200">
        <v>100610330</v>
      </c>
      <c r="J13" s="63">
        <v>19</v>
      </c>
      <c r="K13" s="56">
        <f>-PMT(1.075/1.03-1,J13,I13*1.075^0.5,0,1)</f>
        <v>7850318.5362105304</v>
      </c>
      <c r="L13" s="56">
        <f>K13-$E13</f>
        <v>-1464064.446231802</v>
      </c>
      <c r="M13" s="63">
        <f t="shared" si="3"/>
        <v>0</v>
      </c>
      <c r="N13" s="109" t="e">
        <f t="shared" si="0"/>
        <v>#DIV/0!</v>
      </c>
      <c r="O13" s="200">
        <v>100610330</v>
      </c>
      <c r="P13" s="71">
        <v>15</v>
      </c>
      <c r="Q13" s="114">
        <f>-PMT(1.075/1.03-1,P13,O13*1.075^0.5,0,1)</f>
        <v>9222902.1980068181</v>
      </c>
      <c r="R13" s="56">
        <f>Q13-$E13</f>
        <v>-91480.784435514361</v>
      </c>
      <c r="S13" s="63">
        <f t="shared" si="4"/>
        <v>0</v>
      </c>
      <c r="T13" s="113" t="e">
        <f t="shared" si="1"/>
        <v>#DIV/0!</v>
      </c>
      <c r="U13" s="200">
        <v>100610330</v>
      </c>
      <c r="V13" s="71">
        <v>10</v>
      </c>
      <c r="W13" s="114">
        <f>-PMT(1.075/1.03-1,V13,U13*1.075^0.5,0,1)</f>
        <v>12550082.482587704</v>
      </c>
      <c r="X13" s="56">
        <f>W13-$E13</f>
        <v>3235699.500145372</v>
      </c>
      <c r="Y13" s="63">
        <f t="shared" si="5"/>
        <v>0</v>
      </c>
      <c r="Z13" s="113" t="e">
        <f t="shared" si="2"/>
        <v>#DIV/0!</v>
      </c>
      <c r="AA13" s="56"/>
      <c r="AB13" s="56"/>
      <c r="AC13" s="53"/>
    </row>
    <row r="14" spans="1:31" ht="15.75" thickTop="1" x14ac:dyDescent="0.25">
      <c r="A14" s="49">
        <f>A13+1</f>
        <v>2</v>
      </c>
      <c r="B14" s="49">
        <f t="shared" ref="B14:B42" si="6">B13+1</f>
        <v>2017</v>
      </c>
      <c r="C14" s="54">
        <f>'Misc Curr Schd w2016Loss &amp; DC'!Y17</f>
        <v>141107161.91095614</v>
      </c>
      <c r="D14" s="70">
        <f>'Misc Curr Schd w2016Loss &amp; DC'!Z17</f>
        <v>29</v>
      </c>
      <c r="E14" s="65">
        <f>'Misc Curr Schd w2016Loss &amp; DC'!AA17</f>
        <v>9636143.9467644207</v>
      </c>
      <c r="F14" s="63">
        <f>'Misc Curr Schd w2016Loss &amp; DC'!AB17</f>
        <v>0</v>
      </c>
      <c r="G14" s="109">
        <f>'Misc Curr Schd w2016Loss &amp; DC'!AC17</f>
        <v>0</v>
      </c>
      <c r="I14" s="54">
        <f>I13*1.075-K13*1.075^0.5</f>
        <v>100016721.25344644</v>
      </c>
      <c r="J14" s="63">
        <f>J13-1</f>
        <v>18</v>
      </c>
      <c r="K14" s="56">
        <f t="shared" ref="K14:K31" si="7">-PMT(1.075/1.03-1,J14,I14*1.075^0.5,0,1)</f>
        <v>8085828.092296849</v>
      </c>
      <c r="L14" s="56">
        <f t="shared" ref="L14:L31" si="8">K14-$E14</f>
        <v>-1550315.8544675717</v>
      </c>
      <c r="M14" s="63">
        <f t="shared" si="3"/>
        <v>0</v>
      </c>
      <c r="N14" s="109" t="e">
        <f t="shared" si="0"/>
        <v>#DIV/0!</v>
      </c>
      <c r="O14" s="54">
        <f>O13*1.075-Q13*1.075^0.5</f>
        <v>98593596.223177716</v>
      </c>
      <c r="P14" s="63">
        <f>P13-1</f>
        <v>14</v>
      </c>
      <c r="Q14" s="56">
        <f t="shared" ref="Q14:Q27" si="9">-PMT(1.075/1.03-1,P14,O14*1.075^0.5,0,1)</f>
        <v>9499589.2639470212</v>
      </c>
      <c r="R14" s="56">
        <f t="shared" ref="R14:R27" si="10">Q14-$E14</f>
        <v>-136554.6828173995</v>
      </c>
      <c r="S14" s="63">
        <f t="shared" si="4"/>
        <v>0</v>
      </c>
      <c r="T14" s="109" t="e">
        <f t="shared" si="1"/>
        <v>#DIV/0!</v>
      </c>
      <c r="U14" s="54">
        <f>U13*1.075-W13*1.075^0.5</f>
        <v>95143902.281019732</v>
      </c>
      <c r="V14" s="63">
        <f>V13-1</f>
        <v>9</v>
      </c>
      <c r="W14" s="56">
        <f t="shared" ref="W14:W22" si="11">-PMT(1.075/1.03-1,V14,U14*1.075^0.5,0,1)</f>
        <v>12926584.957065333</v>
      </c>
      <c r="X14" s="56">
        <f t="shared" ref="X14:X42" si="12">W14-$E14</f>
        <v>3290441.010300912</v>
      </c>
      <c r="Y14" s="63">
        <f t="shared" si="5"/>
        <v>0</v>
      </c>
      <c r="Z14" s="109" t="e">
        <f t="shared" si="2"/>
        <v>#DIV/0!</v>
      </c>
      <c r="AA14" s="56"/>
      <c r="AB14" s="56"/>
      <c r="AC14" s="53"/>
      <c r="AE14" s="80"/>
    </row>
    <row r="15" spans="1:31" x14ac:dyDescent="0.25">
      <c r="A15" s="49">
        <f t="shared" ref="A15:A42" si="13">A14+1</f>
        <v>3</v>
      </c>
      <c r="B15" s="49">
        <f t="shared" si="6"/>
        <v>2018</v>
      </c>
      <c r="C15" s="54">
        <f>'Misc Curr Schd w2016Loss &amp; DC'!Y18</f>
        <v>141331813.0492225</v>
      </c>
      <c r="D15" s="70">
        <f>'Misc Curr Schd w2016Loss &amp; DC'!Z18</f>
        <v>28</v>
      </c>
      <c r="E15" s="65">
        <f>'Misc Curr Schd w2016Loss &amp; DC'!AA18</f>
        <v>10085297.033576401</v>
      </c>
      <c r="F15" s="63">
        <f>'Misc Curr Schd w2016Loss &amp; DC'!AB18</f>
        <v>0</v>
      </c>
      <c r="G15" s="109">
        <f>'Misc Curr Schd w2016Loss &amp; DC'!AC18</f>
        <v>0</v>
      </c>
      <c r="I15" s="54">
        <f t="shared" ref="I15:I32" si="14">I14*1.075-K14*1.075^0.5</f>
        <v>99134410.346004754</v>
      </c>
      <c r="J15" s="63">
        <f t="shared" ref="J15:J32" si="15">J14-1</f>
        <v>17</v>
      </c>
      <c r="K15" s="56">
        <f t="shared" si="7"/>
        <v>8328402.9350657528</v>
      </c>
      <c r="L15" s="56">
        <f t="shared" si="8"/>
        <v>-1756894.0985106481</v>
      </c>
      <c r="M15" s="63">
        <f t="shared" si="3"/>
        <v>0</v>
      </c>
      <c r="N15" s="109" t="e">
        <f t="shared" si="0"/>
        <v>#DIV/0!</v>
      </c>
      <c r="O15" s="54">
        <f t="shared" ref="O15:O28" si="16">O14*1.075-Q14*1.075^0.5</f>
        <v>96138732.157289088</v>
      </c>
      <c r="P15" s="63">
        <f t="shared" ref="P15:P28" si="17">P14-1</f>
        <v>13</v>
      </c>
      <c r="Q15" s="56">
        <f t="shared" si="9"/>
        <v>9784576.9418654349</v>
      </c>
      <c r="R15" s="56">
        <f t="shared" si="10"/>
        <v>-300720.09171096608</v>
      </c>
      <c r="S15" s="63">
        <f t="shared" si="4"/>
        <v>0</v>
      </c>
      <c r="T15" s="109" t="e">
        <f t="shared" si="1"/>
        <v>#DIV/0!</v>
      </c>
      <c r="U15" s="54">
        <f t="shared" ref="U15:U23" si="18">U14*1.075-W14*1.075^0.5</f>
        <v>88877126.409046531</v>
      </c>
      <c r="V15" s="63">
        <f t="shared" ref="V15:V23" si="19">V14-1</f>
        <v>8</v>
      </c>
      <c r="W15" s="56">
        <f t="shared" si="11"/>
        <v>13314382.505777296</v>
      </c>
      <c r="X15" s="56">
        <f t="shared" si="12"/>
        <v>3229085.4722008947</v>
      </c>
      <c r="Y15" s="63">
        <f t="shared" si="5"/>
        <v>0</v>
      </c>
      <c r="Z15" s="109" t="e">
        <f t="shared" si="2"/>
        <v>#DIV/0!</v>
      </c>
      <c r="AA15" s="56"/>
      <c r="AB15" s="56"/>
      <c r="AC15" s="53"/>
    </row>
    <row r="16" spans="1:31" x14ac:dyDescent="0.25">
      <c r="A16" s="49">
        <f t="shared" si="13"/>
        <v>4</v>
      </c>
      <c r="B16" s="49">
        <f t="shared" si="6"/>
        <v>2019</v>
      </c>
      <c r="C16" s="54">
        <f>'Misc Curr Schd w2016Loss &amp; DC'!Y19</f>
        <v>140762251.17818022</v>
      </c>
      <c r="D16" s="70">
        <f>'Misc Curr Schd w2016Loss &amp; DC'!Z19</f>
        <v>27</v>
      </c>
      <c r="E16" s="65">
        <f>'Misc Curr Schd w2016Loss &amp; DC'!AA19</f>
        <v>10705269.813703308</v>
      </c>
      <c r="F16" s="63">
        <f>'Misc Curr Schd w2016Loss &amp; DC'!AB19</f>
        <v>0</v>
      </c>
      <c r="G16" s="109">
        <f>'Misc Curr Schd w2016Loss &amp; DC'!AC19</f>
        <v>0</v>
      </c>
      <c r="I16" s="54">
        <f t="shared" si="14"/>
        <v>97934419.170461446</v>
      </c>
      <c r="J16" s="63">
        <f t="shared" si="15"/>
        <v>16</v>
      </c>
      <c r="K16" s="56">
        <f t="shared" si="7"/>
        <v>8578255.0231177285</v>
      </c>
      <c r="L16" s="56">
        <f t="shared" si="8"/>
        <v>-2127014.7905855794</v>
      </c>
      <c r="M16" s="63">
        <f t="shared" si="3"/>
        <v>0</v>
      </c>
      <c r="N16" s="109" t="e">
        <f t="shared" si="0"/>
        <v>#DIV/0!</v>
      </c>
      <c r="O16" s="54">
        <f t="shared" si="16"/>
        <v>93204271.772980005</v>
      </c>
      <c r="P16" s="63">
        <f t="shared" si="17"/>
        <v>12</v>
      </c>
      <c r="Q16" s="56">
        <f t="shared" si="9"/>
        <v>10078114.250121396</v>
      </c>
      <c r="R16" s="56">
        <f t="shared" si="10"/>
        <v>-627155.56358191185</v>
      </c>
      <c r="S16" s="63">
        <f t="shared" si="4"/>
        <v>0</v>
      </c>
      <c r="T16" s="109" t="e">
        <f t="shared" si="1"/>
        <v>#DIV/0!</v>
      </c>
      <c r="U16" s="54">
        <f t="shared" si="18"/>
        <v>81738265.290383846</v>
      </c>
      <c r="V16" s="63">
        <f t="shared" si="19"/>
        <v>7</v>
      </c>
      <c r="W16" s="56">
        <f t="shared" si="11"/>
        <v>13713813.980950613</v>
      </c>
      <c r="X16" s="56">
        <f t="shared" si="12"/>
        <v>3008544.1672473047</v>
      </c>
      <c r="Y16" s="63">
        <f t="shared" si="5"/>
        <v>0</v>
      </c>
      <c r="Z16" s="109" t="e">
        <f t="shared" si="2"/>
        <v>#DIV/0!</v>
      </c>
      <c r="AA16" s="56"/>
      <c r="AB16" s="56"/>
      <c r="AC16" s="53"/>
    </row>
    <row r="17" spans="1:31" x14ac:dyDescent="0.25">
      <c r="A17" s="49">
        <f t="shared" si="13"/>
        <v>5</v>
      </c>
      <c r="B17" s="49">
        <f t="shared" si="6"/>
        <v>2020</v>
      </c>
      <c r="C17" s="54">
        <f>'Misc Curr Schd w2016Loss &amp; DC'!Y20</f>
        <v>139541991.55988777</v>
      </c>
      <c r="D17" s="70">
        <f>'Misc Curr Schd w2016Loss &amp; DC'!Z20</f>
        <v>26</v>
      </c>
      <c r="E17" s="65">
        <f>'Misc Curr Schd w2016Loss &amp; DC'!AA20</f>
        <v>11972447.32921676</v>
      </c>
      <c r="F17" s="63">
        <f>'Misc Curr Schd w2016Loss &amp; DC'!AB20</f>
        <v>0</v>
      </c>
      <c r="G17" s="109">
        <f>'Misc Curr Schd w2016Loss &amp; DC'!AC20</f>
        <v>0</v>
      </c>
      <c r="I17" s="54">
        <f t="shared" si="14"/>
        <v>96385376.498207554</v>
      </c>
      <c r="J17" s="63">
        <f t="shared" si="15"/>
        <v>15</v>
      </c>
      <c r="K17" s="56">
        <f t="shared" si="7"/>
        <v>8835602.6738112587</v>
      </c>
      <c r="L17" s="56">
        <f t="shared" si="8"/>
        <v>-3136844.6554055009</v>
      </c>
      <c r="M17" s="63">
        <f t="shared" si="3"/>
        <v>0</v>
      </c>
      <c r="N17" s="109" t="e">
        <f t="shared" si="0"/>
        <v>#DIV/0!</v>
      </c>
      <c r="O17" s="54">
        <f t="shared" si="16"/>
        <v>89745380.900964558</v>
      </c>
      <c r="P17" s="63">
        <f t="shared" si="17"/>
        <v>11</v>
      </c>
      <c r="Q17" s="56">
        <f t="shared" si="9"/>
        <v>10380457.677625036</v>
      </c>
      <c r="R17" s="56">
        <f t="shared" si="10"/>
        <v>-1591989.6515917238</v>
      </c>
      <c r="S17" s="63">
        <f t="shared" si="4"/>
        <v>0</v>
      </c>
      <c r="T17" s="109" t="e">
        <f t="shared" si="1"/>
        <v>#DIV/0!</v>
      </c>
      <c r="U17" s="54">
        <f t="shared" si="18"/>
        <v>73649850.219841227</v>
      </c>
      <c r="V17" s="63">
        <f t="shared" si="19"/>
        <v>6</v>
      </c>
      <c r="W17" s="56">
        <f t="shared" si="11"/>
        <v>14125228.400379132</v>
      </c>
      <c r="X17" s="56">
        <f t="shared" si="12"/>
        <v>2152781.0711623728</v>
      </c>
      <c r="Y17" s="63">
        <f t="shared" si="5"/>
        <v>0</v>
      </c>
      <c r="Z17" s="109" t="e">
        <f t="shared" si="2"/>
        <v>#DIV/0!</v>
      </c>
      <c r="AA17" s="56"/>
      <c r="AB17" s="56"/>
      <c r="AC17" s="53"/>
    </row>
    <row r="18" spans="1:31" x14ac:dyDescent="0.25">
      <c r="A18" s="49">
        <f t="shared" si="13"/>
        <v>6</v>
      </c>
      <c r="B18" s="49">
        <f t="shared" si="6"/>
        <v>2021</v>
      </c>
      <c r="C18" s="54">
        <f>'Misc Curr Schd w2016Loss &amp; DC'!Y21</f>
        <v>136925535.15400559</v>
      </c>
      <c r="D18" s="70">
        <f>'Misc Curr Schd w2016Loss &amp; DC'!Z21</f>
        <v>25</v>
      </c>
      <c r="E18" s="65">
        <f>'Misc Curr Schd w2016Loss &amp; DC'!AA21</f>
        <v>13128946.787508098</v>
      </c>
      <c r="F18" s="63">
        <f>'Misc Curr Schd w2016Loss &amp; DC'!AB21</f>
        <v>0</v>
      </c>
      <c r="G18" s="109">
        <f>'Misc Curr Schd w2016Loss &amp; DC'!AC21</f>
        <v>0</v>
      </c>
      <c r="I18" s="54">
        <f t="shared" si="14"/>
        <v>94453331.902233481</v>
      </c>
      <c r="J18" s="63">
        <f t="shared" si="15"/>
        <v>14</v>
      </c>
      <c r="K18" s="56">
        <f t="shared" si="7"/>
        <v>9100670.7540255971</v>
      </c>
      <c r="L18" s="56">
        <f t="shared" si="8"/>
        <v>-4028276.0334825013</v>
      </c>
      <c r="M18" s="63">
        <f t="shared" si="3"/>
        <v>0</v>
      </c>
      <c r="N18" s="109" t="e">
        <f t="shared" si="0"/>
        <v>#DIV/0!</v>
      </c>
      <c r="O18" s="54">
        <f t="shared" si="16"/>
        <v>85713596.875898302</v>
      </c>
      <c r="P18" s="63">
        <f t="shared" si="17"/>
        <v>10</v>
      </c>
      <c r="Q18" s="56">
        <f t="shared" si="9"/>
        <v>10691871.407953789</v>
      </c>
      <c r="R18" s="56">
        <f t="shared" si="10"/>
        <v>-2437075.379554309</v>
      </c>
      <c r="S18" s="63">
        <f t="shared" si="4"/>
        <v>0</v>
      </c>
      <c r="T18" s="109" t="e">
        <f t="shared" si="1"/>
        <v>#DIV/0!</v>
      </c>
      <c r="U18" s="54">
        <f t="shared" si="18"/>
        <v>64528240.469988272</v>
      </c>
      <c r="V18" s="63">
        <f t="shared" si="19"/>
        <v>5</v>
      </c>
      <c r="W18" s="56">
        <f t="shared" si="11"/>
        <v>14548985.252390513</v>
      </c>
      <c r="X18" s="56">
        <f t="shared" si="12"/>
        <v>1420038.4648824148</v>
      </c>
      <c r="Y18" s="63">
        <f t="shared" si="5"/>
        <v>0</v>
      </c>
      <c r="Z18" s="109" t="e">
        <f t="shared" si="2"/>
        <v>#DIV/0!</v>
      </c>
      <c r="AA18" s="56"/>
      <c r="AB18" s="56"/>
      <c r="AC18" s="53"/>
    </row>
    <row r="19" spans="1:31" x14ac:dyDescent="0.25">
      <c r="A19" s="49">
        <f t="shared" si="13"/>
        <v>7</v>
      </c>
      <c r="B19" s="49">
        <f t="shared" si="6"/>
        <v>2022</v>
      </c>
      <c r="C19" s="54">
        <f>'Misc Curr Schd w2016Loss &amp; DC'!Y22</f>
        <v>132929634.45800745</v>
      </c>
      <c r="D19" s="70">
        <f>'Misc Curr Schd w2016Loss &amp; DC'!Z22</f>
        <v>24</v>
      </c>
      <c r="E19" s="65">
        <f>'Misc Curr Schd w2016Loss &amp; DC'!AA22</f>
        <v>13908224.869915009</v>
      </c>
      <c r="F19" s="63">
        <f>'Misc Curr Schd w2016Loss &amp; DC'!AB22</f>
        <v>0</v>
      </c>
      <c r="G19" s="109">
        <f>'Misc Curr Schd w2016Loss &amp; DC'!AC22</f>
        <v>0</v>
      </c>
      <c r="I19" s="54">
        <f t="shared" si="14"/>
        <v>92101555.526561156</v>
      </c>
      <c r="J19" s="63">
        <f t="shared" si="15"/>
        <v>13</v>
      </c>
      <c r="K19" s="56">
        <f t="shared" si="7"/>
        <v>9373690.876646366</v>
      </c>
      <c r="L19" s="56">
        <f t="shared" si="8"/>
        <v>-4534533.9932686426</v>
      </c>
      <c r="M19" s="63">
        <f t="shared" si="3"/>
        <v>0</v>
      </c>
      <c r="N19" s="109" t="e">
        <f t="shared" si="0"/>
        <v>#DIV/0!</v>
      </c>
      <c r="O19" s="54">
        <f t="shared" si="16"/>
        <v>81056548.421172917</v>
      </c>
      <c r="P19" s="63">
        <f t="shared" si="17"/>
        <v>9</v>
      </c>
      <c r="Q19" s="56">
        <f t="shared" si="9"/>
        <v>11012627.550192403</v>
      </c>
      <c r="R19" s="56">
        <f t="shared" si="10"/>
        <v>-2895597.3197226059</v>
      </c>
      <c r="S19" s="63">
        <f t="shared" si="4"/>
        <v>0</v>
      </c>
      <c r="T19" s="109" t="e">
        <f t="shared" si="1"/>
        <v>#DIV/0!</v>
      </c>
      <c r="U19" s="54">
        <f t="shared" si="18"/>
        <v>54283149.533406094</v>
      </c>
      <c r="V19" s="63">
        <f t="shared" si="19"/>
        <v>4</v>
      </c>
      <c r="W19" s="56">
        <f t="shared" si="11"/>
        <v>14985454.809962226</v>
      </c>
      <c r="X19" s="56">
        <f t="shared" si="12"/>
        <v>1077229.9400472175</v>
      </c>
      <c r="Y19" s="63">
        <f t="shared" si="5"/>
        <v>0</v>
      </c>
      <c r="Z19" s="109" t="e">
        <f t="shared" si="2"/>
        <v>#DIV/0!</v>
      </c>
      <c r="AA19" s="56"/>
      <c r="AB19" s="56"/>
      <c r="AC19" s="53"/>
    </row>
    <row r="20" spans="1:31" x14ac:dyDescent="0.25">
      <c r="A20" s="49">
        <f t="shared" si="13"/>
        <v>8</v>
      </c>
      <c r="B20" s="49">
        <f t="shared" si="6"/>
        <v>2023</v>
      </c>
      <c r="C20" s="54">
        <f>'Misc Curr Schd w2016Loss &amp; DC'!Y23</f>
        <v>127847929.19689681</v>
      </c>
      <c r="D20" s="70">
        <f>'Misc Curr Schd w2016Loss &amp; DC'!Z23</f>
        <v>23</v>
      </c>
      <c r="E20" s="65">
        <f>'Misc Curr Schd w2016Loss &amp; DC'!AA23</f>
        <v>14593538.362430708</v>
      </c>
      <c r="F20" s="63">
        <f>'Misc Curr Schd w2016Loss &amp; DC'!AB23</f>
        <v>0</v>
      </c>
      <c r="G20" s="109">
        <f>'Misc Curr Schd w2016Loss &amp; DC'!AC23</f>
        <v>0</v>
      </c>
      <c r="I20" s="54">
        <f t="shared" si="14"/>
        <v>89290322.634663224</v>
      </c>
      <c r="J20" s="63">
        <f t="shared" si="15"/>
        <v>12</v>
      </c>
      <c r="K20" s="56">
        <f t="shared" si="7"/>
        <v>9654901.6029457562</v>
      </c>
      <c r="L20" s="56">
        <f t="shared" si="8"/>
        <v>-4938636.7594849523</v>
      </c>
      <c r="M20" s="63">
        <f t="shared" si="3"/>
        <v>0</v>
      </c>
      <c r="N20" s="109" t="e">
        <f t="shared" si="0"/>
        <v>#DIV/0!</v>
      </c>
      <c r="O20" s="54">
        <f t="shared" si="16"/>
        <v>75717654.285730585</v>
      </c>
      <c r="P20" s="63">
        <f t="shared" si="17"/>
        <v>8</v>
      </c>
      <c r="Q20" s="56">
        <f t="shared" si="9"/>
        <v>11343006.376698174</v>
      </c>
      <c r="R20" s="56">
        <f t="shared" si="10"/>
        <v>-3250531.9857325349</v>
      </c>
      <c r="S20" s="63">
        <f t="shared" si="4"/>
        <v>0</v>
      </c>
      <c r="T20" s="109" t="e">
        <f t="shared" si="1"/>
        <v>#DIV/0!</v>
      </c>
      <c r="U20" s="54">
        <f t="shared" si="18"/>
        <v>42817135.507425323</v>
      </c>
      <c r="V20" s="63">
        <f t="shared" si="19"/>
        <v>3</v>
      </c>
      <c r="W20" s="56">
        <f t="shared" si="11"/>
        <v>15435018.454261094</v>
      </c>
      <c r="X20" s="56">
        <f t="shared" si="12"/>
        <v>841480.09183038585</v>
      </c>
      <c r="Y20" s="63">
        <f t="shared" si="5"/>
        <v>0</v>
      </c>
      <c r="Z20" s="109" t="e">
        <f t="shared" si="2"/>
        <v>#DIV/0!</v>
      </c>
      <c r="AA20" s="56"/>
      <c r="AB20" s="56"/>
      <c r="AC20" s="53"/>
    </row>
    <row r="21" spans="1:31" x14ac:dyDescent="0.25">
      <c r="A21" s="49">
        <f t="shared" si="13"/>
        <v>9</v>
      </c>
      <c r="B21" s="49">
        <f t="shared" si="6"/>
        <v>2024</v>
      </c>
      <c r="C21" s="54">
        <f>'Misc Curr Schd w2016Loss &amp; DC'!Y24</f>
        <v>121701610.77868269</v>
      </c>
      <c r="D21" s="70">
        <f>'Misc Curr Schd w2016Loss &amp; DC'!Z24</f>
        <v>22</v>
      </c>
      <c r="E21" s="65">
        <f>'Misc Curr Schd w2016Loss &amp; DC'!AA24</f>
        <v>15031344.513303632</v>
      </c>
      <c r="F21" s="63">
        <f>'Misc Curr Schd w2016Loss &amp; DC'!AB24</f>
        <v>0</v>
      </c>
      <c r="G21" s="109">
        <f>'Misc Curr Schd w2016Loss &amp; DC'!AC24</f>
        <v>0</v>
      </c>
      <c r="I21" s="54">
        <f t="shared" si="14"/>
        <v>85976681.789181232</v>
      </c>
      <c r="J21" s="63">
        <f t="shared" si="15"/>
        <v>11</v>
      </c>
      <c r="K21" s="56">
        <f t="shared" si="7"/>
        <v>9944548.6510341279</v>
      </c>
      <c r="L21" s="56">
        <f t="shared" si="8"/>
        <v>-5086795.862269504</v>
      </c>
      <c r="M21" s="63">
        <f t="shared" si="3"/>
        <v>0</v>
      </c>
      <c r="N21" s="109" t="e">
        <f t="shared" si="0"/>
        <v>#DIV/0!</v>
      </c>
      <c r="O21" s="54">
        <f t="shared" si="16"/>
        <v>69635799.03211917</v>
      </c>
      <c r="P21" s="63">
        <f t="shared" si="17"/>
        <v>7</v>
      </c>
      <c r="Q21" s="56">
        <f t="shared" si="9"/>
        <v>11683296.567999119</v>
      </c>
      <c r="R21" s="56">
        <f t="shared" si="10"/>
        <v>-3348047.945304513</v>
      </c>
      <c r="S21" s="63">
        <f t="shared" si="4"/>
        <v>0</v>
      </c>
      <c r="T21" s="109" t="e">
        <f t="shared" si="1"/>
        <v>#DIV/0!</v>
      </c>
      <c r="U21" s="54">
        <f t="shared" si="18"/>
        <v>30025052.922266405</v>
      </c>
      <c r="V21" s="63">
        <f t="shared" si="19"/>
        <v>2</v>
      </c>
      <c r="W21" s="56">
        <f t="shared" si="11"/>
        <v>15898069.007888922</v>
      </c>
      <c r="X21" s="56">
        <f t="shared" si="12"/>
        <v>866724.49458529055</v>
      </c>
      <c r="Y21" s="63">
        <f t="shared" si="5"/>
        <v>0</v>
      </c>
      <c r="Z21" s="109" t="e">
        <f t="shared" si="2"/>
        <v>#DIV/0!</v>
      </c>
      <c r="AA21" s="56"/>
      <c r="AB21" s="56"/>
      <c r="AC21" s="53"/>
    </row>
    <row r="22" spans="1:31" x14ac:dyDescent="0.25">
      <c r="A22" s="49">
        <f t="shared" si="13"/>
        <v>10</v>
      </c>
      <c r="B22" s="49">
        <f t="shared" si="6"/>
        <v>2025</v>
      </c>
      <c r="C22" s="54">
        <f>'Misc Curr Schd w2016Loss &amp; DC'!Y25</f>
        <v>114672179.86733365</v>
      </c>
      <c r="D22" s="70">
        <f>'Misc Curr Schd w2016Loss &amp; DC'!Z25</f>
        <v>21</v>
      </c>
      <c r="E22" s="65">
        <f>'Misc Curr Schd w2016Loss &amp; DC'!AA25</f>
        <v>15482284.84870274</v>
      </c>
      <c r="F22" s="63">
        <f>'Misc Curr Schd w2016Loss &amp; DC'!AB25</f>
        <v>0</v>
      </c>
      <c r="G22" s="109">
        <f>'Misc Curr Schd w2016Loss &amp; DC'!AC25</f>
        <v>0</v>
      </c>
      <c r="I22" s="54">
        <f t="shared" si="14"/>
        <v>82114205.428995654</v>
      </c>
      <c r="J22" s="63">
        <f t="shared" si="15"/>
        <v>10</v>
      </c>
      <c r="K22" s="56">
        <f t="shared" si="7"/>
        <v>10242885.110565152</v>
      </c>
      <c r="L22" s="56">
        <f t="shared" si="8"/>
        <v>-5239399.7381375879</v>
      </c>
      <c r="M22" s="63">
        <f t="shared" si="3"/>
        <v>0</v>
      </c>
      <c r="N22" s="109" t="e">
        <f t="shared" si="0"/>
        <v>#DIV/0!</v>
      </c>
      <c r="O22" s="54">
        <f t="shared" si="16"/>
        <v>62744984.254735664</v>
      </c>
      <c r="P22" s="63">
        <f t="shared" si="17"/>
        <v>6</v>
      </c>
      <c r="Q22" s="56">
        <f t="shared" si="9"/>
        <v>12033795.465039091</v>
      </c>
      <c r="R22" s="56">
        <f t="shared" si="10"/>
        <v>-3448489.3836636487</v>
      </c>
      <c r="S22" s="63">
        <f t="shared" si="4"/>
        <v>0</v>
      </c>
      <c r="T22" s="109" t="e">
        <f t="shared" si="1"/>
        <v>#DIV/0!</v>
      </c>
      <c r="U22" s="54">
        <f t="shared" si="18"/>
        <v>15793463.110774102</v>
      </c>
      <c r="V22" s="63">
        <f t="shared" si="19"/>
        <v>1</v>
      </c>
      <c r="W22" s="56">
        <f t="shared" si="11"/>
        <v>16375011.078125594</v>
      </c>
      <c r="X22" s="56">
        <f t="shared" si="12"/>
        <v>892726.22942285426</v>
      </c>
      <c r="Y22" s="63">
        <f t="shared" si="5"/>
        <v>0</v>
      </c>
      <c r="Z22" s="109" t="e">
        <f t="shared" si="2"/>
        <v>#DIV/0!</v>
      </c>
      <c r="AA22" s="56"/>
      <c r="AB22" s="56"/>
      <c r="AC22" s="53"/>
    </row>
    <row r="23" spans="1:31" x14ac:dyDescent="0.25">
      <c r="A23" s="49">
        <f t="shared" si="13"/>
        <v>11</v>
      </c>
      <c r="B23" s="49">
        <f t="shared" si="6"/>
        <v>2026</v>
      </c>
      <c r="C23" s="54">
        <f>'Misc Curr Schd w2016Loss &amp; DC'!Y26</f>
        <v>106684232.48221447</v>
      </c>
      <c r="D23" s="70">
        <f>'Misc Curr Schd w2016Loss &amp; DC'!Z26</f>
        <v>20</v>
      </c>
      <c r="E23" s="65">
        <f>'Misc Curr Schd w2016Loss &amp; DC'!AA26</f>
        <v>15946753.394163821</v>
      </c>
      <c r="F23" s="63">
        <f>'Misc Curr Schd w2016Loss &amp; DC'!AB26</f>
        <v>0</v>
      </c>
      <c r="G23" s="109">
        <f>'Misc Curr Schd w2016Loss &amp; DC'!AC26</f>
        <v>0</v>
      </c>
      <c r="I23" s="54">
        <f t="shared" si="14"/>
        <v>77652721.516964927</v>
      </c>
      <c r="J23" s="63">
        <f t="shared" si="15"/>
        <v>9</v>
      </c>
      <c r="K23" s="56">
        <f t="shared" si="7"/>
        <v>10550171.663882105</v>
      </c>
      <c r="L23" s="56">
        <f t="shared" si="8"/>
        <v>-5396581.7302817162</v>
      </c>
      <c r="M23" s="63">
        <f t="shared" si="3"/>
        <v>0</v>
      </c>
      <c r="N23" s="109" t="e">
        <f t="shared" si="0"/>
        <v>#DIV/0!</v>
      </c>
      <c r="O23" s="54">
        <f t="shared" si="16"/>
        <v>54973953.377904631</v>
      </c>
      <c r="P23" s="63">
        <f t="shared" si="17"/>
        <v>5</v>
      </c>
      <c r="Q23" s="56">
        <f t="shared" si="9"/>
        <v>12394809.328990269</v>
      </c>
      <c r="R23" s="56">
        <f t="shared" si="10"/>
        <v>-3551944.0651735514</v>
      </c>
      <c r="S23" s="63">
        <f t="shared" si="4"/>
        <v>0</v>
      </c>
      <c r="T23" s="109" t="e">
        <f t="shared" si="1"/>
        <v>#DIV/0!</v>
      </c>
      <c r="U23" s="54">
        <f t="shared" si="18"/>
        <v>0</v>
      </c>
      <c r="V23" s="63">
        <f t="shared" si="19"/>
        <v>0</v>
      </c>
      <c r="W23" s="56">
        <v>0</v>
      </c>
      <c r="X23" s="56">
        <f t="shared" si="12"/>
        <v>-15946753.394163821</v>
      </c>
      <c r="Y23" s="63">
        <f t="shared" si="5"/>
        <v>0</v>
      </c>
      <c r="Z23" s="109" t="e">
        <f t="shared" si="2"/>
        <v>#DIV/0!</v>
      </c>
      <c r="AA23" s="56"/>
      <c r="AB23" s="56"/>
      <c r="AC23" s="53"/>
    </row>
    <row r="24" spans="1:31" x14ac:dyDescent="0.25">
      <c r="A24" s="49">
        <f t="shared" si="13"/>
        <v>12</v>
      </c>
      <c r="B24" s="49">
        <f t="shared" si="6"/>
        <v>2027</v>
      </c>
      <c r="C24" s="54">
        <f>'Misc Curr Schd w2016Loss &amp; DC'!Y27</f>
        <v>97656678.780861974</v>
      </c>
      <c r="D24" s="70">
        <f>'Misc Curr Schd w2016Loss &amp; DC'!Z27</f>
        <v>19</v>
      </c>
      <c r="E24" s="65">
        <f>'Misc Curr Schd w2016Loss &amp; DC'!AA27</f>
        <v>16425155.995988745</v>
      </c>
      <c r="F24" s="63">
        <f>'Misc Curr Schd w2016Loss &amp; DC'!AB27</f>
        <v>0</v>
      </c>
      <c r="G24" s="109">
        <f>'Misc Curr Schd w2016Loss &amp; DC'!AC27</f>
        <v>0</v>
      </c>
      <c r="I24" s="54">
        <f t="shared" si="14"/>
        <v>72538024.831955731</v>
      </c>
      <c r="J24" s="63">
        <f t="shared" si="15"/>
        <v>8</v>
      </c>
      <c r="K24" s="56">
        <f t="shared" si="7"/>
        <v>10866676.813798569</v>
      </c>
      <c r="L24" s="56">
        <f t="shared" si="8"/>
        <v>-5558479.1821901761</v>
      </c>
      <c r="M24" s="63">
        <f t="shared" si="3"/>
        <v>0</v>
      </c>
      <c r="N24" s="109" t="e">
        <f t="shared" si="0"/>
        <v>#DIV/0!</v>
      </c>
      <c r="O24" s="54">
        <f t="shared" si="16"/>
        <v>46245788.044433177</v>
      </c>
      <c r="P24" s="63">
        <f t="shared" si="17"/>
        <v>4</v>
      </c>
      <c r="Q24" s="56">
        <f t="shared" si="9"/>
        <v>12766653.608859979</v>
      </c>
      <c r="R24" s="56">
        <f t="shared" si="10"/>
        <v>-3658502.3871287666</v>
      </c>
      <c r="S24" s="63">
        <f t="shared" si="4"/>
        <v>0</v>
      </c>
      <c r="T24" s="109" t="e">
        <f t="shared" si="1"/>
        <v>#DIV/0!</v>
      </c>
      <c r="U24" s="54"/>
      <c r="V24" s="63"/>
      <c r="W24" s="56"/>
      <c r="X24" s="56">
        <f t="shared" si="12"/>
        <v>-16425155.995988745</v>
      </c>
      <c r="Y24" s="63"/>
      <c r="Z24" s="109"/>
      <c r="AA24" s="56"/>
      <c r="AB24" s="56"/>
      <c r="AC24" s="53"/>
    </row>
    <row r="25" spans="1:31" s="50" customFormat="1" x14ac:dyDescent="0.25">
      <c r="A25" s="49">
        <f t="shared" si="13"/>
        <v>13</v>
      </c>
      <c r="B25" s="49">
        <f t="shared" si="6"/>
        <v>2028</v>
      </c>
      <c r="C25" s="54">
        <f>'Misc Curr Schd w2016Loss &amp; DC'!Y28</f>
        <v>87502332.821161568</v>
      </c>
      <c r="D25" s="70">
        <f>'Misc Curr Schd w2016Loss &amp; DC'!Z28</f>
        <v>18</v>
      </c>
      <c r="E25" s="65">
        <f>'Misc Curr Schd w2016Loss &amp; DC'!AA28</f>
        <v>16917910.675868411</v>
      </c>
      <c r="F25" s="63">
        <f>'Misc Curr Schd w2016Loss &amp; DC'!AB28</f>
        <v>0</v>
      </c>
      <c r="G25" s="109">
        <f>'Misc Curr Schd w2016Loss &amp; DC'!AC28</f>
        <v>0</v>
      </c>
      <c r="H25" s="49"/>
      <c r="I25" s="54">
        <f t="shared" si="14"/>
        <v>66711566.371607393</v>
      </c>
      <c r="J25" s="63">
        <f t="shared" si="15"/>
        <v>7</v>
      </c>
      <c r="K25" s="56">
        <f t="shared" si="7"/>
        <v>11192677.118212525</v>
      </c>
      <c r="L25" s="56">
        <f t="shared" si="8"/>
        <v>-5725233.5576558858</v>
      </c>
      <c r="M25" s="63">
        <f t="shared" si="3"/>
        <v>0</v>
      </c>
      <c r="N25" s="109" t="e">
        <f t="shared" si="0"/>
        <v>#DIV/0!</v>
      </c>
      <c r="O25" s="54">
        <f t="shared" si="16"/>
        <v>36477473.955846936</v>
      </c>
      <c r="P25" s="63">
        <f t="shared" si="17"/>
        <v>3</v>
      </c>
      <c r="Q25" s="56">
        <f t="shared" si="9"/>
        <v>13149653.217125777</v>
      </c>
      <c r="R25" s="56">
        <f t="shared" si="10"/>
        <v>-3768257.4587426335</v>
      </c>
      <c r="S25" s="63">
        <f t="shared" si="4"/>
        <v>0</v>
      </c>
      <c r="T25" s="109" t="e">
        <f t="shared" si="1"/>
        <v>#DIV/0!</v>
      </c>
      <c r="U25" s="54"/>
      <c r="V25" s="63"/>
      <c r="W25" s="56"/>
      <c r="X25" s="56">
        <f t="shared" si="12"/>
        <v>-16917910.675868411</v>
      </c>
      <c r="Y25" s="63"/>
      <c r="Z25" s="109"/>
      <c r="AA25" s="56"/>
      <c r="AB25" s="56"/>
      <c r="AC25" s="53"/>
      <c r="AD25" s="73"/>
      <c r="AE25" s="49"/>
    </row>
    <row r="26" spans="1:31" s="50" customFormat="1" x14ac:dyDescent="0.25">
      <c r="A26" s="49">
        <f t="shared" si="13"/>
        <v>14</v>
      </c>
      <c r="B26" s="49">
        <f t="shared" si="6"/>
        <v>2029</v>
      </c>
      <c r="C26" s="54">
        <f>'Misc Curr Schd w2016Loss &amp; DC'!Y29</f>
        <v>76127473.240051299</v>
      </c>
      <c r="D26" s="70">
        <f>'Misc Curr Schd w2016Loss &amp; DC'!Z29</f>
        <v>17</v>
      </c>
      <c r="E26" s="65">
        <f>'Misc Curr Schd w2016Loss &amp; DC'!AA29</f>
        <v>17425447.996144459</v>
      </c>
      <c r="F26" s="63">
        <f>'Misc Curr Schd w2016Loss &amp; DC'!AB29</f>
        <v>0</v>
      </c>
      <c r="G26" s="109">
        <f>'Misc Curr Schd w2016Loss &amp; DC'!AC29</f>
        <v>0</v>
      </c>
      <c r="H26" s="49"/>
      <c r="I26" s="54">
        <f t="shared" si="14"/>
        <v>60110119.21705059</v>
      </c>
      <c r="J26" s="63">
        <f t="shared" si="15"/>
        <v>6</v>
      </c>
      <c r="K26" s="56">
        <f t="shared" si="7"/>
        <v>11528457.431758901</v>
      </c>
      <c r="L26" s="56">
        <f t="shared" si="8"/>
        <v>-5896990.5643855575</v>
      </c>
      <c r="M26" s="63">
        <f t="shared" si="3"/>
        <v>0</v>
      </c>
      <c r="N26" s="109" t="e">
        <f t="shared" si="0"/>
        <v>#DIV/0!</v>
      </c>
      <c r="O26" s="54">
        <f t="shared" si="16"/>
        <v>25579433.864859164</v>
      </c>
      <c r="P26" s="63">
        <f t="shared" si="17"/>
        <v>2</v>
      </c>
      <c r="Q26" s="56">
        <f t="shared" si="9"/>
        <v>13544142.813639553</v>
      </c>
      <c r="R26" s="56">
        <f t="shared" si="10"/>
        <v>-3881305.1825049054</v>
      </c>
      <c r="S26" s="63">
        <f t="shared" si="4"/>
        <v>0</v>
      </c>
      <c r="T26" s="109" t="e">
        <f t="shared" si="1"/>
        <v>#DIV/0!</v>
      </c>
      <c r="U26" s="54"/>
      <c r="V26" s="63"/>
      <c r="W26" s="56"/>
      <c r="X26" s="56">
        <f t="shared" si="12"/>
        <v>-17425447.996144459</v>
      </c>
      <c r="Y26" s="63"/>
      <c r="Z26" s="109"/>
      <c r="AA26" s="56"/>
      <c r="AB26" s="56"/>
      <c r="AC26" s="53"/>
      <c r="AD26" s="73"/>
      <c r="AE26" s="49"/>
    </row>
    <row r="27" spans="1:31" s="50" customFormat="1" x14ac:dyDescent="0.25">
      <c r="A27" s="49">
        <f t="shared" si="13"/>
        <v>15</v>
      </c>
      <c r="B27" s="49">
        <f t="shared" si="6"/>
        <v>2030</v>
      </c>
      <c r="C27" s="54">
        <f>'Misc Curr Schd w2016Loss &amp; DC'!Y30</f>
        <v>63431372.801905587</v>
      </c>
      <c r="D27" s="70">
        <f>'Misc Curr Schd w2016Loss &amp; DC'!Z30</f>
        <v>16</v>
      </c>
      <c r="E27" s="65">
        <f>'Misc Curr Schd w2016Loss &amp; DC'!AA30</f>
        <v>17948211.436028797</v>
      </c>
      <c r="F27" s="63">
        <f>'Misc Curr Schd w2016Loss &amp; DC'!AB30</f>
        <v>0</v>
      </c>
      <c r="G27" s="109">
        <f>'Misc Curr Schd w2016Loss &amp; DC'!AC30</f>
        <v>0</v>
      </c>
      <c r="H27" s="49"/>
      <c r="I27" s="54">
        <f t="shared" si="14"/>
        <v>52665419.086929202</v>
      </c>
      <c r="J27" s="63">
        <f t="shared" si="15"/>
        <v>5</v>
      </c>
      <c r="K27" s="56">
        <f t="shared" si="7"/>
        <v>11874311.154711671</v>
      </c>
      <c r="L27" s="56">
        <f t="shared" si="8"/>
        <v>-6073900.281317126</v>
      </c>
      <c r="M27" s="63">
        <f t="shared" si="3"/>
        <v>0</v>
      </c>
      <c r="N27" s="109" t="e">
        <f t="shared" si="0"/>
        <v>#DIV/0!</v>
      </c>
      <c r="O27" s="54">
        <f t="shared" si="16"/>
        <v>13455025.247917015</v>
      </c>
      <c r="P27" s="63">
        <f t="shared" si="17"/>
        <v>1</v>
      </c>
      <c r="Q27" s="56">
        <f t="shared" si="9"/>
        <v>13950467.098048745</v>
      </c>
      <c r="R27" s="56">
        <f t="shared" si="10"/>
        <v>-3997744.3379800525</v>
      </c>
      <c r="S27" s="63">
        <f t="shared" si="4"/>
        <v>0</v>
      </c>
      <c r="T27" s="109" t="e">
        <f t="shared" si="1"/>
        <v>#DIV/0!</v>
      </c>
      <c r="U27" s="54"/>
      <c r="V27" s="63"/>
      <c r="W27" s="56"/>
      <c r="X27" s="56">
        <f t="shared" si="12"/>
        <v>-17948211.436028797</v>
      </c>
      <c r="Y27" s="63"/>
      <c r="Z27" s="109"/>
      <c r="AA27" s="56"/>
      <c r="AB27" s="56"/>
      <c r="AC27" s="53"/>
      <c r="AD27" s="73"/>
      <c r="AE27" s="49"/>
    </row>
    <row r="28" spans="1:31" s="50" customFormat="1" x14ac:dyDescent="0.25">
      <c r="A28" s="49">
        <f t="shared" si="13"/>
        <v>16</v>
      </c>
      <c r="B28" s="49">
        <f t="shared" si="6"/>
        <v>2031</v>
      </c>
      <c r="C28" s="54">
        <f>'Misc Curr Schd w2016Loss &amp; DC'!Y31</f>
        <v>49305794.626141183</v>
      </c>
      <c r="D28" s="70">
        <f>'Misc Curr Schd w2016Loss &amp; DC'!Z31</f>
        <v>15</v>
      </c>
      <c r="E28" s="65">
        <f>'Misc Curr Schd w2016Loss &amp; DC'!AA31</f>
        <v>18486657.779109661</v>
      </c>
      <c r="F28" s="63">
        <f>'Misc Curr Schd w2016Loss &amp; DC'!AB31</f>
        <v>0</v>
      </c>
      <c r="G28" s="109">
        <f>'Misc Curr Schd w2016Loss &amp; DC'!AC31</f>
        <v>0</v>
      </c>
      <c r="H28" s="49"/>
      <c r="I28" s="54">
        <f t="shared" si="14"/>
        <v>44303777.674906701</v>
      </c>
      <c r="J28" s="63">
        <f t="shared" si="15"/>
        <v>4</v>
      </c>
      <c r="K28" s="56">
        <f t="shared" si="7"/>
        <v>12230540.48935302</v>
      </c>
      <c r="L28" s="56">
        <f t="shared" si="8"/>
        <v>-6256117.2897566408</v>
      </c>
      <c r="M28" s="63">
        <f t="shared" si="3"/>
        <v>0</v>
      </c>
      <c r="N28" s="109" t="e">
        <f t="shared" si="0"/>
        <v>#DIV/0!</v>
      </c>
      <c r="O28" s="54">
        <f t="shared" si="16"/>
        <v>0</v>
      </c>
      <c r="P28" s="63">
        <f t="shared" si="17"/>
        <v>0</v>
      </c>
      <c r="Q28" s="56">
        <v>0</v>
      </c>
      <c r="R28" s="56"/>
      <c r="S28" s="63">
        <f t="shared" si="4"/>
        <v>0</v>
      </c>
      <c r="T28" s="109" t="e">
        <f t="shared" si="1"/>
        <v>#DIV/0!</v>
      </c>
      <c r="U28" s="54"/>
      <c r="V28" s="63"/>
      <c r="W28" s="56"/>
      <c r="X28" s="56">
        <f t="shared" si="12"/>
        <v>-18486657.779109661</v>
      </c>
      <c r="Y28" s="63"/>
      <c r="Z28" s="109"/>
      <c r="AA28" s="56"/>
      <c r="AB28" s="56"/>
      <c r="AC28" s="53"/>
      <c r="AD28" s="73"/>
      <c r="AE28" s="49"/>
    </row>
    <row r="29" spans="1:31" s="50" customFormat="1" x14ac:dyDescent="0.25">
      <c r="A29" s="49">
        <f t="shared" si="13"/>
        <v>17</v>
      </c>
      <c r="B29" s="49">
        <f t="shared" si="6"/>
        <v>2032</v>
      </c>
      <c r="C29" s="54">
        <f>'Misc Curr Schd w2016Loss &amp; DC'!Y32</f>
        <v>33634452.74991633</v>
      </c>
      <c r="D29" s="70">
        <f>'Misc Curr Schd w2016Loss &amp; DC'!Z32</f>
        <v>14</v>
      </c>
      <c r="E29" s="65">
        <f>'Misc Curr Schd w2016Loss &amp; DC'!AA32</f>
        <v>19041257.512482949</v>
      </c>
      <c r="F29" s="63">
        <f>'Misc Curr Schd w2016Loss &amp; DC'!AB32</f>
        <v>0</v>
      </c>
      <c r="G29" s="109">
        <f>'Misc Curr Schd w2016Loss &amp; DC'!AC32</f>
        <v>0</v>
      </c>
      <c r="H29" s="49"/>
      <c r="I29" s="54">
        <f t="shared" si="14"/>
        <v>34945666.721676245</v>
      </c>
      <c r="J29" s="63">
        <f t="shared" si="15"/>
        <v>3</v>
      </c>
      <c r="K29" s="56">
        <f t="shared" si="7"/>
        <v>12597456.704033609</v>
      </c>
      <c r="L29" s="56">
        <f t="shared" si="8"/>
        <v>-6443800.8084493391</v>
      </c>
      <c r="M29" s="63">
        <f t="shared" si="3"/>
        <v>0</v>
      </c>
      <c r="N29" s="109" t="e">
        <f t="shared" si="0"/>
        <v>#DIV/0!</v>
      </c>
      <c r="O29" s="54"/>
      <c r="P29" s="63"/>
      <c r="Q29" s="56"/>
      <c r="R29" s="56"/>
      <c r="S29" s="63"/>
      <c r="T29" s="109"/>
      <c r="U29" s="54"/>
      <c r="V29" s="63"/>
      <c r="W29" s="56"/>
      <c r="X29" s="56">
        <f t="shared" si="12"/>
        <v>-19041257.512482949</v>
      </c>
      <c r="Y29" s="63"/>
      <c r="Z29" s="109"/>
      <c r="AA29" s="56"/>
      <c r="AB29" s="56"/>
      <c r="AC29" s="53"/>
      <c r="AD29" s="73"/>
      <c r="AE29" s="49"/>
    </row>
    <row r="30" spans="1:31" s="50" customFormat="1" x14ac:dyDescent="0.25">
      <c r="A30" s="49">
        <f t="shared" si="13"/>
        <v>18</v>
      </c>
      <c r="B30" s="49">
        <f t="shared" si="6"/>
        <v>2033</v>
      </c>
      <c r="C30" s="54">
        <f>'Misc Curr Schd w2016Loss &amp; DC'!Y33</f>
        <v>16292434.517354093</v>
      </c>
      <c r="D30" s="70">
        <f>'Misc Curr Schd w2016Loss &amp; DC'!Z33</f>
        <v>13</v>
      </c>
      <c r="E30" s="65">
        <f>'Misc Curr Schd w2016Loss &amp; DC'!AA33</f>
        <v>3611459.3888584296</v>
      </c>
      <c r="F30" s="63">
        <f>'Misc Curr Schd w2016Loss &amp; DC'!AB33</f>
        <v>0</v>
      </c>
      <c r="G30" s="109">
        <f>'Misc Curr Schd w2016Loss &amp; DC'!AC33</f>
        <v>0</v>
      </c>
      <c r="H30" s="49"/>
      <c r="I30" s="54">
        <f t="shared" si="14"/>
        <v>24505270.618588056</v>
      </c>
      <c r="J30" s="63">
        <f t="shared" si="15"/>
        <v>2</v>
      </c>
      <c r="K30" s="56">
        <f t="shared" si="7"/>
        <v>12975380.405154614</v>
      </c>
      <c r="L30" s="56">
        <f t="shared" si="8"/>
        <v>9363921.0162961837</v>
      </c>
      <c r="M30" s="63">
        <f t="shared" si="3"/>
        <v>0</v>
      </c>
      <c r="N30" s="109" t="e">
        <f t="shared" si="0"/>
        <v>#DIV/0!</v>
      </c>
      <c r="O30" s="54"/>
      <c r="P30" s="63"/>
      <c r="Q30" s="56"/>
      <c r="R30" s="56"/>
      <c r="S30" s="63"/>
      <c r="T30" s="109"/>
      <c r="U30" s="54"/>
      <c r="V30" s="63"/>
      <c r="W30" s="56"/>
      <c r="X30" s="56">
        <f t="shared" si="12"/>
        <v>-3611459.3888584296</v>
      </c>
      <c r="Y30" s="63"/>
      <c r="Z30" s="109"/>
      <c r="AA30" s="56"/>
      <c r="AB30" s="56"/>
      <c r="AC30" s="53"/>
      <c r="AD30" s="73"/>
      <c r="AE30" s="49"/>
    </row>
    <row r="31" spans="1:31" s="50" customFormat="1" x14ac:dyDescent="0.25">
      <c r="A31" s="49">
        <f t="shared" si="13"/>
        <v>19</v>
      </c>
      <c r="B31" s="49">
        <f t="shared" si="6"/>
        <v>2034</v>
      </c>
      <c r="C31" s="54">
        <f>'Misc Curr Schd w2016Loss &amp; DC'!Y34</f>
        <v>13697182.293758765</v>
      </c>
      <c r="D31" s="70">
        <f>'Misc Curr Schd w2016Loss &amp; DC'!Z34</f>
        <v>12</v>
      </c>
      <c r="E31" s="65">
        <f>'Misc Curr Schd w2016Loss &amp; DC'!AA34</f>
        <v>3365895.2872326374</v>
      </c>
      <c r="F31" s="63">
        <f>'Misc Curr Schd w2016Loss &amp; DC'!AB34</f>
        <v>0</v>
      </c>
      <c r="G31" s="109">
        <f>'Misc Curr Schd w2016Loss &amp; DC'!AC34</f>
        <v>0</v>
      </c>
      <c r="H31" s="49"/>
      <c r="I31" s="54">
        <f t="shared" si="14"/>
        <v>12890005.174551843</v>
      </c>
      <c r="J31" s="63">
        <f t="shared" si="15"/>
        <v>1</v>
      </c>
      <c r="K31" s="56">
        <f t="shared" si="7"/>
        <v>13364641.817309253</v>
      </c>
      <c r="L31" s="56">
        <f t="shared" si="8"/>
        <v>9998746.5300766155</v>
      </c>
      <c r="M31" s="63">
        <f t="shared" si="3"/>
        <v>0</v>
      </c>
      <c r="N31" s="109" t="e">
        <f t="shared" si="0"/>
        <v>#DIV/0!</v>
      </c>
      <c r="O31" s="54"/>
      <c r="P31" s="63"/>
      <c r="Q31" s="56"/>
      <c r="R31" s="56"/>
      <c r="S31" s="63"/>
      <c r="T31" s="109"/>
      <c r="U31" s="54"/>
      <c r="V31" s="63"/>
      <c r="W31" s="56"/>
      <c r="X31" s="56">
        <f t="shared" si="12"/>
        <v>-3365895.2872326374</v>
      </c>
      <c r="Y31" s="63"/>
      <c r="Z31" s="109"/>
      <c r="AA31" s="56"/>
      <c r="AB31" s="56"/>
      <c r="AC31" s="53"/>
      <c r="AD31" s="73"/>
      <c r="AE31" s="49"/>
    </row>
    <row r="32" spans="1:31" s="50" customFormat="1" x14ac:dyDescent="0.25">
      <c r="A32" s="49">
        <f t="shared" si="13"/>
        <v>20</v>
      </c>
      <c r="B32" s="49">
        <f t="shared" si="6"/>
        <v>2035</v>
      </c>
      <c r="C32" s="54">
        <f>'Misc Curr Schd w2016Loss &amp; DC'!Y35</f>
        <v>11174275.896374026</v>
      </c>
      <c r="D32" s="70">
        <f>'Misc Curr Schd w2016Loss &amp; DC'!Z35</f>
        <v>11</v>
      </c>
      <c r="E32" s="65">
        <f>'Misc Curr Schd w2016Loss &amp; DC'!AA35</f>
        <v>2720147.9439520808</v>
      </c>
      <c r="F32" s="63">
        <f>'Misc Curr Schd w2016Loss &amp; DC'!AB35</f>
        <v>0</v>
      </c>
      <c r="G32" s="109">
        <f>'Misc Curr Schd w2016Loss &amp; DC'!AC35</f>
        <v>0</v>
      </c>
      <c r="H32" s="49"/>
      <c r="I32" s="54">
        <f t="shared" si="14"/>
        <v>0</v>
      </c>
      <c r="J32" s="63">
        <f t="shared" si="15"/>
        <v>0</v>
      </c>
      <c r="K32" s="72">
        <v>0</v>
      </c>
      <c r="L32" s="56"/>
      <c r="M32" s="63">
        <f t="shared" si="3"/>
        <v>0</v>
      </c>
      <c r="N32" s="109" t="e">
        <f t="shared" si="0"/>
        <v>#DIV/0!</v>
      </c>
      <c r="O32" s="54"/>
      <c r="P32" s="63"/>
      <c r="Q32" s="56"/>
      <c r="R32" s="56"/>
      <c r="S32" s="63"/>
      <c r="T32" s="109"/>
      <c r="U32" s="54"/>
      <c r="V32" s="63"/>
      <c r="W32" s="56"/>
      <c r="X32" s="56">
        <f t="shared" si="12"/>
        <v>-2720147.9439520808</v>
      </c>
      <c r="Y32" s="63"/>
      <c r="Z32" s="109"/>
      <c r="AA32" s="56"/>
      <c r="AB32" s="56"/>
      <c r="AC32" s="53"/>
      <c r="AD32" s="73"/>
      <c r="AE32" s="49"/>
    </row>
    <row r="33" spans="1:31" s="50" customFormat="1" x14ac:dyDescent="0.25">
      <c r="A33" s="49">
        <f t="shared" si="13"/>
        <v>21</v>
      </c>
      <c r="B33" s="49">
        <f t="shared" si="6"/>
        <v>2036</v>
      </c>
      <c r="C33" s="54">
        <f>'Misc Curr Schd w2016Loss &amp; DC'!Y36</f>
        <v>9142732.2969877291</v>
      </c>
      <c r="D33" s="70">
        <f>'Misc Curr Schd w2016Loss &amp; DC'!Z36</f>
        <v>10</v>
      </c>
      <c r="E33" s="65">
        <f>'Misc Curr Schd w2016Loss &amp; DC'!AA36</f>
        <v>2032626.4543161811</v>
      </c>
      <c r="F33" s="63">
        <f>'Misc Curr Schd w2016Loss &amp; DC'!AB36</f>
        <v>0</v>
      </c>
      <c r="G33" s="109">
        <f>'Misc Curr Schd w2016Loss &amp; DC'!AC36</f>
        <v>0</v>
      </c>
      <c r="H33" s="49"/>
      <c r="I33" s="54"/>
      <c r="J33" s="63"/>
      <c r="K33" s="56"/>
      <c r="L33" s="56"/>
      <c r="M33" s="63"/>
      <c r="N33" s="55"/>
      <c r="O33" s="54"/>
      <c r="P33" s="63"/>
      <c r="Q33" s="56"/>
      <c r="R33" s="56"/>
      <c r="S33" s="63">
        <f>M33</f>
        <v>0</v>
      </c>
      <c r="T33" s="55"/>
      <c r="U33" s="54"/>
      <c r="V33" s="63"/>
      <c r="W33" s="56"/>
      <c r="X33" s="56">
        <f t="shared" si="12"/>
        <v>-2032626.4543161811</v>
      </c>
      <c r="Y33" s="56"/>
      <c r="Z33" s="55"/>
      <c r="AA33" s="56"/>
      <c r="AB33" s="56"/>
      <c r="AC33" s="53"/>
      <c r="AD33" s="73"/>
      <c r="AE33" s="49"/>
    </row>
    <row r="34" spans="1:31" s="50" customFormat="1" x14ac:dyDescent="0.25">
      <c r="A34" s="49">
        <f t="shared" si="13"/>
        <v>22</v>
      </c>
      <c r="B34" s="49">
        <f t="shared" si="6"/>
        <v>2037</v>
      </c>
      <c r="C34" s="54">
        <f>'Misc Curr Schd w2016Loss &amp; DC'!Y37</f>
        <v>7491663.4322357848</v>
      </c>
      <c r="D34" s="70">
        <f>'Misc Curr Schd w2016Loss &amp; DC'!Z37</f>
        <v>9</v>
      </c>
      <c r="E34" s="65">
        <f>'Misc Curr Schd w2016Loss &amp; DC'!AA37</f>
        <v>1106424.8267757369</v>
      </c>
      <c r="F34" s="63">
        <f>'Misc Curr Schd w2016Loss &amp; DC'!AB37</f>
        <v>0</v>
      </c>
      <c r="G34" s="109">
        <f>'Misc Curr Schd w2016Loss &amp; DC'!AC37</f>
        <v>0</v>
      </c>
      <c r="H34" s="49"/>
      <c r="I34" s="54"/>
      <c r="J34" s="63"/>
      <c r="K34" s="56"/>
      <c r="L34" s="56"/>
      <c r="M34" s="63"/>
      <c r="N34" s="55"/>
      <c r="O34" s="54"/>
      <c r="P34" s="63"/>
      <c r="Q34" s="56"/>
      <c r="R34" s="56"/>
      <c r="S34" s="56"/>
      <c r="T34" s="55"/>
      <c r="U34" s="54"/>
      <c r="V34" s="63"/>
      <c r="W34" s="56"/>
      <c r="X34" s="56">
        <f t="shared" si="12"/>
        <v>-1106424.8267757369</v>
      </c>
      <c r="Y34" s="56"/>
      <c r="Z34" s="55"/>
      <c r="AA34" s="56"/>
      <c r="AB34" s="56"/>
      <c r="AC34" s="53"/>
      <c r="AD34" s="73"/>
      <c r="AE34" s="49"/>
    </row>
    <row r="35" spans="1:31" s="50" customFormat="1" x14ac:dyDescent="0.25">
      <c r="A35" s="49">
        <f t="shared" si="13"/>
        <v>23</v>
      </c>
      <c r="B35" s="49">
        <f t="shared" si="6"/>
        <v>2038</v>
      </c>
      <c r="C35" s="54">
        <f>'Misc Curr Schd w2016Loss &amp; DC'!Y38</f>
        <v>6871585.1323920432</v>
      </c>
      <c r="D35" s="70">
        <f>'Misc Curr Schd w2016Loss &amp; DC'!Z38</f>
        <v>8</v>
      </c>
      <c r="E35" s="65">
        <f>'Misc Curr Schd w2016Loss &amp; DC'!AA38</f>
        <v>721978.31518520496</v>
      </c>
      <c r="F35" s="63">
        <f>'Misc Curr Schd w2016Loss &amp; DC'!AB38</f>
        <v>0</v>
      </c>
      <c r="G35" s="109">
        <f>'Misc Curr Schd w2016Loss &amp; DC'!AC38</f>
        <v>0</v>
      </c>
      <c r="H35" s="49"/>
      <c r="I35" s="54"/>
      <c r="J35" s="63"/>
      <c r="K35" s="56"/>
      <c r="L35" s="56"/>
      <c r="M35" s="63"/>
      <c r="N35" s="55"/>
      <c r="O35" s="54"/>
      <c r="P35" s="63"/>
      <c r="Q35" s="56"/>
      <c r="R35" s="56"/>
      <c r="S35" s="56"/>
      <c r="T35" s="55"/>
      <c r="U35" s="54"/>
      <c r="V35" s="63"/>
      <c r="W35" s="56"/>
      <c r="X35" s="56">
        <f t="shared" si="12"/>
        <v>-721978.31518520496</v>
      </c>
      <c r="Y35" s="56"/>
      <c r="Z35" s="55"/>
      <c r="AA35" s="56"/>
      <c r="AB35" s="56"/>
      <c r="AC35" s="53"/>
      <c r="AD35" s="73"/>
      <c r="AE35" s="49"/>
    </row>
    <row r="36" spans="1:31" s="50" customFormat="1" x14ac:dyDescent="0.25">
      <c r="A36" s="49">
        <f t="shared" si="13"/>
        <v>24</v>
      </c>
      <c r="B36" s="49">
        <f t="shared" si="6"/>
        <v>2039</v>
      </c>
      <c r="C36" s="54">
        <f>'Misc Curr Schd w2016Loss &amp; DC'!Y39</f>
        <v>6605775.9153589681</v>
      </c>
      <c r="D36" s="70">
        <f>'Misc Curr Schd w2016Loss &amp; DC'!Z39</f>
        <v>7</v>
      </c>
      <c r="E36" s="65">
        <f>'Misc Curr Schd w2016Loss &amp; DC'!AA39</f>
        <v>313469.23055514507</v>
      </c>
      <c r="F36" s="63">
        <f>'Misc Curr Schd w2016Loss &amp; DC'!AB39</f>
        <v>0</v>
      </c>
      <c r="G36" s="109">
        <f>'Misc Curr Schd w2016Loss &amp; DC'!AC39</f>
        <v>0</v>
      </c>
      <c r="H36" s="49"/>
      <c r="I36" s="54"/>
      <c r="J36" s="63"/>
      <c r="K36" s="56"/>
      <c r="L36" s="56"/>
      <c r="M36" s="63"/>
      <c r="N36" s="55"/>
      <c r="O36" s="54"/>
      <c r="P36" s="63"/>
      <c r="Q36" s="56"/>
      <c r="R36" s="56"/>
      <c r="S36" s="56"/>
      <c r="T36" s="55"/>
      <c r="U36" s="54"/>
      <c r="V36" s="63"/>
      <c r="W36" s="56"/>
      <c r="X36" s="56">
        <f t="shared" si="12"/>
        <v>-313469.23055514507</v>
      </c>
      <c r="Y36" s="56"/>
      <c r="Z36" s="55"/>
      <c r="AA36" s="56"/>
      <c r="AB36" s="56"/>
      <c r="AC36" s="53"/>
      <c r="AD36" s="73"/>
      <c r="AE36" s="49"/>
    </row>
    <row r="37" spans="1:31" s="50" customFormat="1" x14ac:dyDescent="0.25">
      <c r="A37" s="49">
        <f t="shared" si="13"/>
        <v>25</v>
      </c>
      <c r="B37" s="49">
        <f t="shared" si="6"/>
        <v>2040</v>
      </c>
      <c r="C37" s="54">
        <f>'Misc Curr Schd w2016Loss &amp; DC'!Y40</f>
        <v>6743925.136027419</v>
      </c>
      <c r="D37" s="70">
        <f>'Misc Curr Schd w2016Loss &amp; DC'!Z40</f>
        <v>6</v>
      </c>
      <c r="E37" s="65">
        <f>'Misc Curr Schd w2016Loss &amp; DC'!AA40</f>
        <v>322873.3074717992</v>
      </c>
      <c r="F37" s="63">
        <f>'Misc Curr Schd w2016Loss &amp; DC'!AB40</f>
        <v>0</v>
      </c>
      <c r="G37" s="109">
        <f>'Misc Curr Schd w2016Loss &amp; DC'!AC40</f>
        <v>0</v>
      </c>
      <c r="H37" s="49"/>
      <c r="I37" s="54"/>
      <c r="J37" s="63"/>
      <c r="K37" s="56"/>
      <c r="L37" s="56"/>
      <c r="M37" s="63"/>
      <c r="N37" s="55"/>
      <c r="O37" s="54"/>
      <c r="P37" s="63"/>
      <c r="Q37" s="56"/>
      <c r="R37" s="56"/>
      <c r="S37" s="56"/>
      <c r="T37" s="55"/>
      <c r="U37" s="54"/>
      <c r="V37" s="63"/>
      <c r="W37" s="56"/>
      <c r="X37" s="56">
        <f t="shared" si="12"/>
        <v>-322873.3074717992</v>
      </c>
      <c r="Y37" s="56"/>
      <c r="Z37" s="55"/>
      <c r="AA37" s="56"/>
      <c r="AB37" s="56"/>
      <c r="AC37" s="53"/>
      <c r="AD37" s="73"/>
      <c r="AE37" s="49"/>
    </row>
    <row r="38" spans="1:31" s="50" customFormat="1" x14ac:dyDescent="0.25">
      <c r="A38" s="49">
        <f t="shared" si="13"/>
        <v>26</v>
      </c>
      <c r="B38" s="49">
        <f t="shared" si="6"/>
        <v>2041</v>
      </c>
      <c r="C38" s="54">
        <f>'Misc Curr Schd w2016Loss &amp; DC'!Y41</f>
        <v>6882017.149340461</v>
      </c>
      <c r="D38" s="70">
        <f>'Misc Curr Schd w2016Loss &amp; DC'!Z41</f>
        <v>5</v>
      </c>
      <c r="E38" s="65">
        <f>'Misc Curr Schd w2016Loss &amp; DC'!AA41</f>
        <v>1134294.6510156835</v>
      </c>
      <c r="F38" s="63">
        <f>'Misc Curr Schd w2016Loss &amp; DC'!AB41</f>
        <v>0</v>
      </c>
      <c r="G38" s="109">
        <f>'Misc Curr Schd w2016Loss &amp; DC'!AC41</f>
        <v>0</v>
      </c>
      <c r="H38" s="49"/>
      <c r="I38" s="54"/>
      <c r="J38" s="63"/>
      <c r="K38" s="56"/>
      <c r="L38" s="56"/>
      <c r="M38" s="63"/>
      <c r="N38" s="55"/>
      <c r="O38" s="54"/>
      <c r="P38" s="63"/>
      <c r="Q38" s="56"/>
      <c r="R38" s="56"/>
      <c r="S38" s="56"/>
      <c r="T38" s="55"/>
      <c r="U38" s="54"/>
      <c r="V38" s="63"/>
      <c r="W38" s="56"/>
      <c r="X38" s="56">
        <f t="shared" si="12"/>
        <v>-1134294.6510156835</v>
      </c>
      <c r="Y38" s="56"/>
      <c r="Z38" s="55"/>
      <c r="AA38" s="56"/>
      <c r="AB38" s="56"/>
      <c r="AC38" s="53"/>
      <c r="AD38" s="73"/>
      <c r="AE38" s="49"/>
    </row>
    <row r="39" spans="1:31" s="50" customFormat="1" x14ac:dyDescent="0.25">
      <c r="A39" s="49">
        <f t="shared" si="13"/>
        <v>27</v>
      </c>
      <c r="B39" s="49">
        <f t="shared" si="6"/>
        <v>2042</v>
      </c>
      <c r="C39" s="54">
        <f>'Misc Curr Schd w2016Loss &amp; DC'!Y42</f>
        <v>6190434.8393354835</v>
      </c>
      <c r="D39" s="70">
        <f>'Misc Curr Schd w2016Loss &amp; DC'!Z42</f>
        <v>4</v>
      </c>
      <c r="E39" s="65">
        <f>'Misc Curr Schd w2016Loss &amp; DC'!AA42</f>
        <v>1664700.952718521</v>
      </c>
      <c r="F39" s="63">
        <f>'Misc Curr Schd w2016Loss &amp; DC'!AB42</f>
        <v>0</v>
      </c>
      <c r="G39" s="109">
        <f>'Misc Curr Schd w2016Loss &amp; DC'!AC42</f>
        <v>0</v>
      </c>
      <c r="H39" s="49"/>
      <c r="I39" s="54"/>
      <c r="J39" s="63"/>
      <c r="K39" s="56"/>
      <c r="L39" s="56"/>
      <c r="M39" s="63"/>
      <c r="N39" s="55"/>
      <c r="O39" s="54"/>
      <c r="P39" s="63"/>
      <c r="Q39" s="56"/>
      <c r="R39" s="56"/>
      <c r="S39" s="56"/>
      <c r="T39" s="55"/>
      <c r="U39" s="54"/>
      <c r="V39" s="63"/>
      <c r="W39" s="56"/>
      <c r="X39" s="56">
        <f t="shared" si="12"/>
        <v>-1664700.952718521</v>
      </c>
      <c r="Y39" s="56"/>
      <c r="Z39" s="55"/>
      <c r="AA39" s="56"/>
      <c r="AB39" s="56"/>
      <c r="AC39" s="53"/>
      <c r="AD39" s="73"/>
      <c r="AE39" s="49"/>
    </row>
    <row r="40" spans="1:31" s="50" customFormat="1" x14ac:dyDescent="0.25">
      <c r="A40" s="49">
        <f t="shared" si="13"/>
        <v>28</v>
      </c>
      <c r="B40" s="49">
        <f t="shared" si="6"/>
        <v>2043</v>
      </c>
      <c r="C40" s="54">
        <f>'Misc Curr Schd w2016Loss &amp; DC'!Y43</f>
        <v>4901785.2229429493</v>
      </c>
      <c r="D40" s="70">
        <f>'Misc Curr Schd w2016Loss &amp; DC'!Z43</f>
        <v>3</v>
      </c>
      <c r="E40" s="65">
        <f>'Misc Curr Schd w2016Loss &amp; DC'!AA43</f>
        <v>1644079.5051693295</v>
      </c>
      <c r="F40" s="63">
        <f>'Misc Curr Schd w2016Loss &amp; DC'!AB43</f>
        <v>0</v>
      </c>
      <c r="G40" s="109">
        <f>'Misc Curr Schd w2016Loss &amp; DC'!AC43</f>
        <v>0</v>
      </c>
      <c r="H40" s="49"/>
      <c r="I40" s="54"/>
      <c r="J40" s="63"/>
      <c r="K40" s="56"/>
      <c r="L40" s="56"/>
      <c r="M40" s="63"/>
      <c r="N40" s="55"/>
      <c r="O40" s="54"/>
      <c r="P40" s="63"/>
      <c r="Q40" s="56"/>
      <c r="R40" s="56"/>
      <c r="S40" s="56"/>
      <c r="T40" s="55"/>
      <c r="U40" s="54"/>
      <c r="V40" s="63"/>
      <c r="W40" s="56"/>
      <c r="X40" s="56">
        <f t="shared" si="12"/>
        <v>-1644079.5051693295</v>
      </c>
      <c r="Y40" s="56"/>
      <c r="Z40" s="55"/>
      <c r="AA40" s="56"/>
      <c r="AB40" s="56"/>
      <c r="AC40" s="53"/>
      <c r="AD40" s="73"/>
      <c r="AE40" s="49"/>
    </row>
    <row r="41" spans="1:31" x14ac:dyDescent="0.25">
      <c r="A41" s="49">
        <f t="shared" si="13"/>
        <v>29</v>
      </c>
      <c r="B41" s="49">
        <f t="shared" si="6"/>
        <v>2044</v>
      </c>
      <c r="C41" s="54">
        <f>'Misc Curr Schd w2016Loss &amp; DC'!Y44</f>
        <v>3544261.1246118732</v>
      </c>
      <c r="D41" s="70">
        <f>'Misc Curr Schd w2016Loss &amp; DC'!Z44</f>
        <v>2</v>
      </c>
      <c r="E41" s="65">
        <f>'Misc Curr Schd w2016Loss &amp; DC'!AA44</f>
        <v>1620722.5399097393</v>
      </c>
      <c r="F41" s="63">
        <f>'Misc Curr Schd w2016Loss &amp; DC'!AB44</f>
        <v>0</v>
      </c>
      <c r="G41" s="109">
        <f>'Misc Curr Schd w2016Loss &amp; DC'!AC44</f>
        <v>0</v>
      </c>
      <c r="I41" s="54"/>
      <c r="J41" s="63"/>
      <c r="K41" s="56"/>
      <c r="L41" s="56"/>
      <c r="M41" s="63"/>
      <c r="N41" s="55"/>
      <c r="O41" s="54"/>
      <c r="P41" s="63"/>
      <c r="Q41" s="56"/>
      <c r="R41" s="56"/>
      <c r="S41" s="56"/>
      <c r="T41" s="55"/>
      <c r="U41" s="54"/>
      <c r="V41" s="63"/>
      <c r="W41" s="56"/>
      <c r="X41" s="56">
        <f t="shared" si="12"/>
        <v>-1620722.5399097393</v>
      </c>
      <c r="Y41" s="56"/>
      <c r="Z41" s="55"/>
      <c r="AA41" s="56"/>
      <c r="AB41" s="56"/>
      <c r="AC41" s="53"/>
    </row>
    <row r="42" spans="1:31" x14ac:dyDescent="0.25">
      <c r="A42" s="49">
        <f t="shared" si="13"/>
        <v>30</v>
      </c>
      <c r="B42" s="49">
        <f t="shared" si="6"/>
        <v>2045</v>
      </c>
      <c r="C42" s="54">
        <f>'Misc Curr Schd w2016Loss &amp; DC'!Y45</f>
        <v>2115870.9721288937</v>
      </c>
      <c r="D42" s="70">
        <f>'Misc Curr Schd w2016Loss &amp; DC'!Z45</f>
        <v>1</v>
      </c>
      <c r="E42" s="65">
        <f>'Misc Curr Schd w2016Loss &amp; DC'!AA45</f>
        <v>1594484.4851799218</v>
      </c>
      <c r="F42" s="63">
        <f>'Misc Curr Schd w2016Loss &amp; DC'!AB45</f>
        <v>0</v>
      </c>
      <c r="G42" s="109">
        <f>'Misc Curr Schd w2016Loss &amp; DC'!AC45</f>
        <v>0</v>
      </c>
      <c r="I42" s="54"/>
      <c r="J42" s="63"/>
      <c r="K42" s="111"/>
      <c r="L42" s="56"/>
      <c r="M42" s="63"/>
      <c r="N42" s="109"/>
      <c r="O42" s="54"/>
      <c r="P42" s="63"/>
      <c r="Q42" s="111"/>
      <c r="R42" s="56"/>
      <c r="S42" s="111"/>
      <c r="T42" s="109"/>
      <c r="U42" s="54"/>
      <c r="V42" s="63"/>
      <c r="W42" s="111"/>
      <c r="X42" s="56">
        <f t="shared" si="12"/>
        <v>-1594484.4851799218</v>
      </c>
      <c r="Y42" s="111"/>
      <c r="Z42" s="109"/>
      <c r="AA42" s="111"/>
      <c r="AB42" s="111"/>
      <c r="AC42" s="53"/>
    </row>
    <row r="43" spans="1:31" x14ac:dyDescent="0.25">
      <c r="C43" s="64"/>
      <c r="D43" s="65"/>
      <c r="E43" s="72"/>
      <c r="F43" s="121"/>
      <c r="G43" s="21"/>
      <c r="I43" s="54"/>
      <c r="J43" s="63"/>
      <c r="K43" s="56"/>
      <c r="L43" s="56"/>
      <c r="M43" s="63"/>
      <c r="N43" s="55"/>
      <c r="O43" s="54"/>
      <c r="P43" s="63"/>
      <c r="Q43" s="56"/>
      <c r="R43" s="56"/>
      <c r="S43" s="56"/>
      <c r="T43" s="55"/>
      <c r="U43" s="54"/>
      <c r="V43" s="63"/>
      <c r="W43" s="56"/>
      <c r="X43" s="56"/>
      <c r="Y43" s="56"/>
      <c r="Z43" s="55"/>
      <c r="AA43" s="56"/>
      <c r="AB43" s="56"/>
      <c r="AC43" s="53"/>
    </row>
    <row r="44" spans="1:31" x14ac:dyDescent="0.25">
      <c r="C44" s="66"/>
      <c r="D44" s="67"/>
      <c r="E44" s="67"/>
      <c r="F44" s="126"/>
      <c r="G44" s="34"/>
      <c r="I44" s="57"/>
      <c r="J44" s="68"/>
      <c r="K44" s="59"/>
      <c r="L44" s="59"/>
      <c r="M44" s="68"/>
      <c r="N44" s="58"/>
      <c r="O44" s="57"/>
      <c r="P44" s="68"/>
      <c r="Q44" s="59"/>
      <c r="R44" s="59"/>
      <c r="S44" s="59"/>
      <c r="T44" s="58"/>
      <c r="U44" s="57"/>
      <c r="V44" s="68"/>
      <c r="W44" s="59"/>
      <c r="X44" s="59"/>
      <c r="Y44" s="59"/>
      <c r="Z44" s="58"/>
      <c r="AA44" s="56"/>
      <c r="AB44" s="56"/>
      <c r="AC44" s="53"/>
    </row>
    <row r="45" spans="1:31" x14ac:dyDescent="0.25">
      <c r="C45" s="40"/>
      <c r="D45" s="16"/>
      <c r="E45" s="16"/>
      <c r="F45" s="133"/>
      <c r="G45" s="19"/>
      <c r="I45" s="40" t="s">
        <v>81</v>
      </c>
      <c r="J45" s="16"/>
      <c r="K45" s="133">
        <f>SUM(K13:K44)</f>
        <v>197175417.85393342</v>
      </c>
      <c r="L45" s="133">
        <f>SUM(L13:L44)</f>
        <v>-55851212.099507928</v>
      </c>
      <c r="M45" s="136"/>
      <c r="N45" s="137"/>
      <c r="O45" s="40" t="s">
        <v>81</v>
      </c>
      <c r="P45" s="16"/>
      <c r="Q45" s="133">
        <f>SUM(Q13:Q44)</f>
        <v>171535963.76611263</v>
      </c>
      <c r="R45" s="133">
        <f>SUM(R13:R44)</f>
        <v>-36985396.219645038</v>
      </c>
      <c r="S45" s="133"/>
      <c r="T45" s="137"/>
      <c r="U45" s="40" t="s">
        <v>81</v>
      </c>
      <c r="V45" s="16"/>
      <c r="W45" s="133">
        <f>SUM(W13:W44)</f>
        <v>143872630.92938843</v>
      </c>
      <c r="X45" s="133">
        <f>SUM(X13:X44)</f>
        <v>-124029801.23630221</v>
      </c>
      <c r="Y45" s="133"/>
      <c r="Z45" s="137"/>
      <c r="AA45" s="47"/>
      <c r="AB45" s="47"/>
    </row>
    <row r="46" spans="1:31" x14ac:dyDescent="0.25">
      <c r="C46" s="22" t="s">
        <v>81</v>
      </c>
      <c r="D46" s="52"/>
      <c r="E46" s="36">
        <f>SUM(E13:E44)</f>
        <v>267902432.16569072</v>
      </c>
      <c r="F46" s="134"/>
      <c r="G46" s="135"/>
      <c r="I46" s="22" t="s">
        <v>82</v>
      </c>
      <c r="J46" s="52"/>
      <c r="K46" s="35">
        <f>$E46</f>
        <v>267902432.16569072</v>
      </c>
      <c r="L46" s="134"/>
      <c r="M46" s="121"/>
      <c r="N46" s="135"/>
      <c r="O46" s="22" t="s">
        <v>82</v>
      </c>
      <c r="P46" s="52"/>
      <c r="Q46" s="35">
        <f>$E46</f>
        <v>267902432.16569072</v>
      </c>
      <c r="R46" s="134"/>
      <c r="S46" s="134"/>
      <c r="T46" s="135"/>
      <c r="U46" s="22" t="s">
        <v>82</v>
      </c>
      <c r="V46" s="52"/>
      <c r="W46" s="35">
        <f>$E46</f>
        <v>267902432.16569072</v>
      </c>
      <c r="X46" s="134"/>
      <c r="Y46" s="134"/>
      <c r="Z46" s="135"/>
      <c r="AA46" s="48"/>
      <c r="AB46" s="48"/>
      <c r="AC46" s="48"/>
    </row>
    <row r="47" spans="1:31" x14ac:dyDescent="0.25">
      <c r="C47" s="22"/>
      <c r="D47" s="52"/>
      <c r="E47" s="36"/>
      <c r="F47" s="52"/>
      <c r="G47" s="21"/>
      <c r="I47" s="22" t="s">
        <v>85</v>
      </c>
      <c r="J47" s="52"/>
      <c r="K47" s="36">
        <f>K45-K46</f>
        <v>-70727014.311757296</v>
      </c>
      <c r="L47" s="52"/>
      <c r="M47" s="121"/>
      <c r="N47" s="21"/>
      <c r="O47" s="22" t="s">
        <v>85</v>
      </c>
      <c r="P47" s="52"/>
      <c r="Q47" s="36">
        <f>Q45-Q46</f>
        <v>-96366468.399578094</v>
      </c>
      <c r="R47" s="52"/>
      <c r="S47" s="52"/>
      <c r="T47" s="21"/>
      <c r="U47" s="22" t="s">
        <v>85</v>
      </c>
      <c r="V47" s="52"/>
      <c r="W47" s="36">
        <f>W45-W46</f>
        <v>-124029801.23630229</v>
      </c>
      <c r="X47" s="52"/>
      <c r="Y47" s="52"/>
      <c r="Z47" s="21"/>
    </row>
    <row r="48" spans="1:31" x14ac:dyDescent="0.25">
      <c r="C48" s="22"/>
      <c r="D48" s="52"/>
      <c r="E48" s="52"/>
      <c r="F48" s="52"/>
      <c r="G48" s="21"/>
      <c r="I48" s="22"/>
      <c r="J48" s="52"/>
      <c r="K48" s="52"/>
      <c r="L48" s="52"/>
      <c r="M48" s="121"/>
      <c r="N48" s="21"/>
      <c r="O48" s="22"/>
      <c r="P48" s="52"/>
      <c r="Q48" s="52"/>
      <c r="R48" s="52"/>
      <c r="S48" s="52"/>
      <c r="T48" s="21"/>
      <c r="U48" s="22"/>
      <c r="V48" s="52"/>
      <c r="W48" s="52"/>
      <c r="X48" s="52"/>
      <c r="Y48" s="52"/>
      <c r="Z48" s="21"/>
    </row>
    <row r="49" spans="3:26" x14ac:dyDescent="0.25">
      <c r="C49" s="22"/>
      <c r="D49" s="52"/>
      <c r="E49" s="52"/>
      <c r="F49" s="52"/>
      <c r="G49" s="21"/>
      <c r="I49" s="22" t="s">
        <v>86</v>
      </c>
      <c r="J49" s="52"/>
      <c r="K49" s="134">
        <f>NPV(0.03,K13:K32)</f>
        <v>144811701.15339816</v>
      </c>
      <c r="L49" s="52"/>
      <c r="M49" s="121"/>
      <c r="N49" s="21"/>
      <c r="O49" s="22" t="s">
        <v>86</v>
      </c>
      <c r="P49" s="52"/>
      <c r="Q49" s="134">
        <f>NPV(0.03,Q13:Q27)</f>
        <v>134314109.67971092</v>
      </c>
      <c r="R49" s="52"/>
      <c r="S49" s="52"/>
      <c r="T49" s="21"/>
      <c r="U49" s="22" t="s">
        <v>86</v>
      </c>
      <c r="V49" s="52"/>
      <c r="W49" s="134">
        <f>NPV(0.03,W13:W27)</f>
        <v>121845460.99599713</v>
      </c>
      <c r="X49" s="52"/>
      <c r="Y49" s="52"/>
      <c r="Z49" s="21"/>
    </row>
    <row r="50" spans="3:26" x14ac:dyDescent="0.25">
      <c r="C50" s="22" t="s">
        <v>86</v>
      </c>
      <c r="D50" s="52"/>
      <c r="E50" s="134">
        <f>NPV(0.03,E13:E42)</f>
        <v>195931171.53795403</v>
      </c>
      <c r="F50" s="52"/>
      <c r="G50" s="21"/>
      <c r="I50" s="22" t="s">
        <v>80</v>
      </c>
      <c r="J50" s="52"/>
      <c r="K50" s="127">
        <f>$E50</f>
        <v>195931171.53795403</v>
      </c>
      <c r="L50" s="52"/>
      <c r="M50" s="121"/>
      <c r="N50" s="21"/>
      <c r="O50" s="22" t="s">
        <v>80</v>
      </c>
      <c r="P50" s="52"/>
      <c r="Q50" s="127">
        <f>$E50</f>
        <v>195931171.53795403</v>
      </c>
      <c r="R50" s="52"/>
      <c r="S50" s="52"/>
      <c r="T50" s="21"/>
      <c r="U50" s="22" t="s">
        <v>80</v>
      </c>
      <c r="V50" s="52"/>
      <c r="W50" s="127">
        <f>$E50</f>
        <v>195931171.53795403</v>
      </c>
      <c r="X50" s="52"/>
      <c r="Y50" s="52"/>
      <c r="Z50" s="21"/>
    </row>
    <row r="51" spans="3:26" x14ac:dyDescent="0.25">
      <c r="C51" s="22"/>
      <c r="D51" s="52"/>
      <c r="E51" s="52"/>
      <c r="F51" s="36"/>
      <c r="G51" s="21"/>
      <c r="I51" s="22" t="s">
        <v>84</v>
      </c>
      <c r="J51" s="52"/>
      <c r="K51" s="36">
        <f>K49-K50</f>
        <v>-51119470.384555876</v>
      </c>
      <c r="L51" s="36">
        <f>NPV(0.03,L13:L42)</f>
        <v>-43930446.345709875</v>
      </c>
      <c r="M51" s="121"/>
      <c r="N51" s="21"/>
      <c r="O51" s="22" t="s">
        <v>84</v>
      </c>
      <c r="P51" s="52"/>
      <c r="Q51" s="36">
        <f>Q49-Q50</f>
        <v>-61617061.858243108</v>
      </c>
      <c r="R51" s="36">
        <f>NPV(0.03,R13:R42)</f>
        <v>-27346615.109500621</v>
      </c>
      <c r="S51" s="52"/>
      <c r="T51" s="21"/>
      <c r="U51" s="22" t="s">
        <v>84</v>
      </c>
      <c r="V51" s="52"/>
      <c r="W51" s="36">
        <f>W49-W50</f>
        <v>-74085710.541956902</v>
      </c>
      <c r="X51" s="36">
        <f>NPV(0.03,X13:X42)</f>
        <v>-74085710.541956961</v>
      </c>
      <c r="Y51" s="52"/>
      <c r="Z51" s="21"/>
    </row>
    <row r="52" spans="3:26" x14ac:dyDescent="0.25">
      <c r="C52" s="22"/>
      <c r="D52" s="52"/>
      <c r="E52" s="52"/>
      <c r="F52" s="121"/>
      <c r="G52" s="21"/>
      <c r="I52" s="22"/>
      <c r="J52" s="52"/>
      <c r="K52" s="52"/>
      <c r="L52" s="52"/>
      <c r="M52" s="121"/>
      <c r="N52" s="21"/>
      <c r="O52" s="22"/>
      <c r="P52" s="52"/>
      <c r="Q52" s="52"/>
      <c r="R52" s="52"/>
      <c r="S52" s="52"/>
      <c r="T52" s="21"/>
      <c r="U52" s="22"/>
      <c r="V52" s="52"/>
      <c r="W52" s="52"/>
      <c r="X52" s="52"/>
      <c r="Y52" s="52"/>
      <c r="Z52" s="21"/>
    </row>
    <row r="53" spans="3:26" x14ac:dyDescent="0.25">
      <c r="C53" s="22" t="s">
        <v>89</v>
      </c>
      <c r="D53" s="52"/>
      <c r="E53" s="52">
        <f>B18</f>
        <v>2021</v>
      </c>
      <c r="F53" s="121"/>
      <c r="G53" s="21"/>
      <c r="I53" s="22" t="s">
        <v>89</v>
      </c>
      <c r="J53" s="52"/>
      <c r="K53" s="52">
        <f>B17</f>
        <v>2020</v>
      </c>
      <c r="L53" s="52"/>
      <c r="M53" s="121"/>
      <c r="N53" s="21"/>
      <c r="O53" s="22" t="s">
        <v>89</v>
      </c>
      <c r="P53" s="52"/>
      <c r="Q53" s="52">
        <f>B17</f>
        <v>2020</v>
      </c>
      <c r="R53" s="52"/>
      <c r="S53" s="52"/>
      <c r="T53" s="21"/>
      <c r="U53" s="22" t="s">
        <v>89</v>
      </c>
      <c r="V53" s="52"/>
      <c r="W53" s="52">
        <v>2019</v>
      </c>
      <c r="X53" s="52"/>
      <c r="Y53" s="52"/>
      <c r="Z53" s="21"/>
    </row>
    <row r="54" spans="3:26" x14ac:dyDescent="0.25">
      <c r="C54" s="33" t="s">
        <v>90</v>
      </c>
      <c r="D54" s="12"/>
      <c r="E54" s="12">
        <f>B42</f>
        <v>2045</v>
      </c>
      <c r="F54" s="138"/>
      <c r="G54" s="34"/>
      <c r="I54" s="33" t="s">
        <v>90</v>
      </c>
      <c r="J54" s="12"/>
      <c r="K54" s="12">
        <f>B32</f>
        <v>2035</v>
      </c>
      <c r="L54" s="12"/>
      <c r="M54" s="138"/>
      <c r="N54" s="34"/>
      <c r="O54" s="33" t="s">
        <v>90</v>
      </c>
      <c r="P54" s="12"/>
      <c r="Q54" s="12">
        <f>B28</f>
        <v>2031</v>
      </c>
      <c r="R54" s="12"/>
      <c r="S54" s="12"/>
      <c r="T54" s="34"/>
      <c r="U54" s="33" t="s">
        <v>90</v>
      </c>
      <c r="V54" s="12"/>
      <c r="W54" s="12">
        <v>2026</v>
      </c>
      <c r="X54" s="12"/>
      <c r="Y54" s="12"/>
      <c r="Z54" s="34"/>
    </row>
  </sheetData>
  <mergeCells count="7">
    <mergeCell ref="C7:G7"/>
    <mergeCell ref="C8:G8"/>
    <mergeCell ref="C9:G9"/>
    <mergeCell ref="I8:Z8"/>
    <mergeCell ref="I9:N9"/>
    <mergeCell ref="O9:T9"/>
    <mergeCell ref="U9:Z9"/>
  </mergeCells>
  <conditionalFormatting sqref="N11:N32">
    <cfRule type="iconSet" priority="35">
      <iconSet>
        <cfvo type="percent" val="0"/>
        <cfvo type="num" val="0.6"/>
        <cfvo type="num" val="0.8"/>
      </iconSet>
    </cfRule>
  </conditionalFormatting>
  <conditionalFormatting sqref="T11:T28">
    <cfRule type="iconSet" priority="34">
      <iconSet>
        <cfvo type="percent" val="0"/>
        <cfvo type="num" val="0.6"/>
        <cfvo type="num" val="0.8"/>
      </iconSet>
    </cfRule>
  </conditionalFormatting>
  <conditionalFormatting sqref="Z11:Z23">
    <cfRule type="iconSet" priority="33">
      <iconSet>
        <cfvo type="percent" val="0"/>
        <cfvo type="num" val="0.6"/>
        <cfvo type="num" val="0.8"/>
      </iconSet>
    </cfRule>
  </conditionalFormatting>
  <conditionalFormatting sqref="G11:G42">
    <cfRule type="iconSet" priority="31">
      <iconSet>
        <cfvo type="percent" val="0"/>
        <cfvo type="num" val="0.6"/>
        <cfvo type="num" val="0.8"/>
      </iconSet>
    </cfRule>
  </conditionalFormatting>
  <conditionalFormatting sqref="C14">
    <cfRule type="cellIs" dxfId="236" priority="22" operator="greaterThanOrEqual">
      <formula>C13</formula>
    </cfRule>
    <cfRule type="cellIs" dxfId="235" priority="23" operator="greaterThan">
      <formula>C$13</formula>
    </cfRule>
    <cfRule type="cellIs" dxfId="234" priority="24" operator="lessThanOrEqual">
      <formula>C$13</formula>
    </cfRule>
  </conditionalFormatting>
  <conditionalFormatting sqref="C15:C42">
    <cfRule type="cellIs" dxfId="233" priority="19" operator="greaterThanOrEqual">
      <formula>C14</formula>
    </cfRule>
    <cfRule type="cellIs" dxfId="232" priority="20" operator="greaterThan">
      <formula>C$13</formula>
    </cfRule>
    <cfRule type="cellIs" dxfId="231" priority="21" operator="lessThanOrEqual">
      <formula>C$13</formula>
    </cfRule>
  </conditionalFormatting>
  <conditionalFormatting sqref="I14">
    <cfRule type="cellIs" dxfId="230" priority="16" operator="greaterThanOrEqual">
      <formula>I13</formula>
    </cfRule>
    <cfRule type="cellIs" dxfId="229" priority="17" operator="greaterThan">
      <formula>I$13</formula>
    </cfRule>
    <cfRule type="cellIs" dxfId="228" priority="18" operator="lessThanOrEqual">
      <formula>I$13</formula>
    </cfRule>
  </conditionalFormatting>
  <conditionalFormatting sqref="I15:I32">
    <cfRule type="cellIs" dxfId="227" priority="13" operator="greaterThanOrEqual">
      <formula>I14</formula>
    </cfRule>
    <cfRule type="cellIs" dxfId="226" priority="14" operator="greaterThan">
      <formula>I$13</formula>
    </cfRule>
    <cfRule type="cellIs" dxfId="225" priority="15" operator="lessThanOrEqual">
      <formula>I$13</formula>
    </cfRule>
  </conditionalFormatting>
  <conditionalFormatting sqref="O14">
    <cfRule type="cellIs" dxfId="224" priority="10" operator="greaterThanOrEqual">
      <formula>O13</formula>
    </cfRule>
    <cfRule type="cellIs" dxfId="223" priority="11" operator="greaterThan">
      <formula>O$13</formula>
    </cfRule>
    <cfRule type="cellIs" dxfId="222" priority="12" operator="lessThanOrEqual">
      <formula>O$13</formula>
    </cfRule>
  </conditionalFormatting>
  <conditionalFormatting sqref="O15:O28">
    <cfRule type="cellIs" dxfId="221" priority="7" operator="greaterThanOrEqual">
      <formula>O14</formula>
    </cfRule>
    <cfRule type="cellIs" dxfId="220" priority="8" operator="greaterThan">
      <formula>O$13</formula>
    </cfRule>
    <cfRule type="cellIs" dxfId="219" priority="9" operator="lessThanOrEqual">
      <formula>O$13</formula>
    </cfRule>
  </conditionalFormatting>
  <conditionalFormatting sqref="U14">
    <cfRule type="cellIs" dxfId="218" priority="4" operator="greaterThanOrEqual">
      <formula>U13</formula>
    </cfRule>
    <cfRule type="cellIs" dxfId="217" priority="5" operator="greaterThan">
      <formula>U$13</formula>
    </cfRule>
    <cfRule type="cellIs" dxfId="216" priority="6" operator="lessThanOrEqual">
      <formula>U$13</formula>
    </cfRule>
  </conditionalFormatting>
  <conditionalFormatting sqref="U15:U23">
    <cfRule type="cellIs" dxfId="215" priority="1" operator="greaterThanOrEqual">
      <formula>U14</formula>
    </cfRule>
    <cfRule type="cellIs" dxfId="214" priority="2" operator="greaterThan">
      <formula>U$13</formula>
    </cfRule>
    <cfRule type="cellIs" dxfId="213" priority="3" operator="lessThanOrEqual">
      <formula>U$13</formula>
    </cfRule>
  </conditionalFormatting>
  <pageMargins left="0.25" right="0.25" top="0.75" bottom="0.75" header="0.3" footer="0.3"/>
  <pageSetup paperSize="3" scale="75" orientation="landscape" r:id="rId1"/>
  <headerFooter differentFirst="1">
    <oddFooter>&amp;R&amp;P</oddFooter>
    <firstHeader xml:space="preserve">&amp;C&amp;18 </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C1:K2"/>
  <sheetViews>
    <sheetView showGridLines="0" topLeftCell="D10" workbookViewId="0">
      <selection activeCell="U40" sqref="U40"/>
    </sheetView>
  </sheetViews>
  <sheetFormatPr defaultRowHeight="15" x14ac:dyDescent="0.25"/>
  <sheetData>
    <row r="1" spans="3:11" s="49" customFormat="1" ht="26.25" x14ac:dyDescent="0.4">
      <c r="C1" s="214" t="s">
        <v>127</v>
      </c>
    </row>
    <row r="2" spans="3:11" x14ac:dyDescent="0.25">
      <c r="C2" s="49"/>
      <c r="D2" s="49"/>
      <c r="E2" s="49"/>
      <c r="F2" s="49"/>
      <c r="G2" s="49"/>
      <c r="H2" s="49"/>
      <c r="I2" s="49"/>
      <c r="J2" s="49"/>
      <c r="K2" s="49"/>
    </row>
  </sheetData>
  <pageMargins left="0.25" right="0.25" top="0.75" bottom="0.75" header="0.3" footer="0.3"/>
  <pageSetup paperSize="3" scale="69" orientation="landscape" r:id="rId1"/>
  <headerFooter differentFirst="1">
    <oddFooter>&amp;R&amp;P</oddFooter>
    <firstHeader>&amp;C&amp;20Attachment A&amp;16
&amp;18Analysis of Unfunded Pension Liability and Payment Options&amp;16
6/30/13 Actuarial Valuation
Prepared October 2014</firstHeader>
  </headerFooter>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F53"/>
  <sheetViews>
    <sheetView showGridLines="0" zoomScaleNormal="100" workbookViewId="0">
      <selection activeCell="D4" sqref="D4"/>
    </sheetView>
  </sheetViews>
  <sheetFormatPr defaultColWidth="9.140625" defaultRowHeight="15" x14ac:dyDescent="0.25"/>
  <cols>
    <col min="1" max="1" width="3.5703125" style="49" customWidth="1"/>
    <col min="2" max="3" width="5" style="49" bestFit="1" customWidth="1"/>
    <col min="4" max="4" width="14.7109375" style="49" customWidth="1"/>
    <col min="5" max="5" width="6.28515625" style="49" customWidth="1"/>
    <col min="6" max="6" width="12.28515625" style="49" customWidth="1"/>
    <col min="7" max="7" width="13" style="49" bestFit="1" customWidth="1"/>
    <col min="8" max="8" width="9.5703125" style="49" bestFit="1" customWidth="1"/>
    <col min="9" max="9" width="11.85546875" style="49" bestFit="1" customWidth="1"/>
    <col min="10" max="10" width="14.85546875" style="49" customWidth="1"/>
    <col min="11" max="12" width="11.85546875" style="49" customWidth="1"/>
    <col min="13" max="13" width="12.28515625" style="49" customWidth="1"/>
    <col min="14" max="14" width="9.28515625" style="49" customWidth="1"/>
    <col min="15" max="15" width="11.28515625" style="49" customWidth="1"/>
    <col min="16" max="16" width="15.140625" style="49" bestFit="1" customWidth="1"/>
    <col min="17" max="17" width="7" style="49" customWidth="1"/>
    <col min="18" max="18" width="15.5703125" style="49" bestFit="1" customWidth="1"/>
    <col min="19" max="19" width="14" style="50" hidden="1" customWidth="1"/>
    <col min="20" max="20" width="15.28515625" style="49" hidden="1" customWidth="1"/>
    <col min="21" max="21" width="4" style="49" customWidth="1"/>
    <col min="22" max="22" width="14.28515625" style="73" bestFit="1" customWidth="1"/>
    <col min="23" max="23" width="11.5703125" style="49" bestFit="1" customWidth="1"/>
    <col min="24" max="28" width="9.140625" style="49"/>
    <col min="29" max="29" width="4.85546875" style="49" customWidth="1"/>
    <col min="30" max="31" width="9.140625" style="49"/>
    <col min="32" max="32" width="12.5703125" style="215" bestFit="1" customWidth="1"/>
    <col min="33" max="16384" width="9.140625" style="49"/>
  </cols>
  <sheetData>
    <row r="1" spans="1:32" ht="11.25" customHeight="1" thickBot="1" x14ac:dyDescent="0.3"/>
    <row r="2" spans="1:32" ht="27.75" thickTop="1" thickBot="1" x14ac:dyDescent="0.45">
      <c r="D2" s="214" t="s">
        <v>216</v>
      </c>
      <c r="G2" s="246" t="s">
        <v>141</v>
      </c>
      <c r="H2" s="244">
        <v>7.4999999999999997E-2</v>
      </c>
      <c r="J2" s="246" t="s">
        <v>141</v>
      </c>
      <c r="K2" s="244">
        <v>7.4999999999999997E-2</v>
      </c>
      <c r="M2" s="246" t="s">
        <v>141</v>
      </c>
      <c r="N2" s="244">
        <v>7.4999999999999997E-2</v>
      </c>
    </row>
    <row r="3" spans="1:32" ht="27.75" thickTop="1" thickBot="1" x14ac:dyDescent="0.45">
      <c r="D3" s="214" t="s">
        <v>264</v>
      </c>
      <c r="G3" s="247" t="s">
        <v>142</v>
      </c>
      <c r="H3" s="244">
        <v>0.03</v>
      </c>
      <c r="J3" s="247" t="s">
        <v>142</v>
      </c>
      <c r="K3" s="244">
        <v>0.03</v>
      </c>
      <c r="M3" s="247" t="s">
        <v>142</v>
      </c>
      <c r="N3" s="244">
        <v>0.03</v>
      </c>
    </row>
    <row r="4" spans="1:32" ht="15.75" thickTop="1" x14ac:dyDescent="0.25">
      <c r="G4" s="248"/>
      <c r="H4" s="250"/>
      <c r="J4" s="248"/>
      <c r="K4" s="250"/>
      <c r="M4" s="248"/>
      <c r="N4" s="250"/>
    </row>
    <row r="5" spans="1:32" x14ac:dyDescent="0.25">
      <c r="G5" s="248" t="s">
        <v>143</v>
      </c>
      <c r="H5" s="250">
        <v>5</v>
      </c>
      <c r="J5" s="248" t="s">
        <v>143</v>
      </c>
      <c r="K5" s="250">
        <v>5</v>
      </c>
      <c r="M5" s="248" t="s">
        <v>143</v>
      </c>
      <c r="N5" s="250">
        <v>5</v>
      </c>
      <c r="W5" s="540" t="s">
        <v>131</v>
      </c>
      <c r="X5" s="540"/>
      <c r="Y5" s="540"/>
      <c r="Z5" s="540"/>
      <c r="AA5" s="540"/>
      <c r="AB5" s="540"/>
    </row>
    <row r="6" spans="1:32" x14ac:dyDescent="0.25">
      <c r="G6" s="248" t="s">
        <v>144</v>
      </c>
      <c r="H6" s="251">
        <f>H15+1-H5</f>
        <v>26</v>
      </c>
      <c r="J6" s="248" t="s">
        <v>144</v>
      </c>
      <c r="K6" s="251">
        <f>K16+1-K5</f>
        <v>26</v>
      </c>
      <c r="M6" s="248" t="s">
        <v>144</v>
      </c>
      <c r="N6" s="251">
        <f>N17+1-N5</f>
        <v>26</v>
      </c>
    </row>
    <row r="7" spans="1:32" x14ac:dyDescent="0.25">
      <c r="G7" s="248" t="s">
        <v>145</v>
      </c>
      <c r="H7" s="252">
        <f>1/(-PMT((1+H2)/(1+H3)-1,H5,1,0,1))</f>
        <v>4.5985546446254109</v>
      </c>
      <c r="J7" s="248" t="s">
        <v>145</v>
      </c>
      <c r="K7" s="252">
        <f>1/(-PMT((1+K2)/(1+K3)-1,K5,1,0,1))</f>
        <v>4.5985546446254109</v>
      </c>
      <c r="M7" s="248" t="s">
        <v>145</v>
      </c>
      <c r="N7" s="252">
        <f>1/(-PMT((1+N2)/(1+N3)-1,N5,1,0,1))</f>
        <v>4.5985546446254109</v>
      </c>
    </row>
    <row r="8" spans="1:32" x14ac:dyDescent="0.25">
      <c r="G8" s="249" t="s">
        <v>146</v>
      </c>
      <c r="H8" s="253">
        <f>1/(-PMT((1+H2)/(1+H3)-1,H6,1,0,1)*(1+H2)^0.5)</f>
        <v>15.461009016959615</v>
      </c>
      <c r="J8" s="249" t="s">
        <v>146</v>
      </c>
      <c r="K8" s="253">
        <f>1/(-PMT((1+K2)/(1+K3)-1,K6,1,0,1)*(1+K2)^0.5)</f>
        <v>15.461009016959615</v>
      </c>
      <c r="M8" s="249" t="s">
        <v>146</v>
      </c>
      <c r="N8" s="253">
        <f>1/(-PMT((1+N2)/(1+N3)-1,N6,1,0,1)*(1+N2)^0.5)</f>
        <v>15.461009016959615</v>
      </c>
    </row>
    <row r="9" spans="1:32" ht="15.75" thickBot="1" x14ac:dyDescent="0.3"/>
    <row r="10" spans="1:32" x14ac:dyDescent="0.25">
      <c r="C10" s="317"/>
      <c r="D10" s="590" t="s">
        <v>159</v>
      </c>
      <c r="E10" s="591"/>
      <c r="F10" s="591"/>
      <c r="G10" s="591"/>
      <c r="H10" s="591"/>
      <c r="I10" s="591"/>
      <c r="J10" s="591"/>
      <c r="K10" s="591"/>
      <c r="L10" s="591"/>
      <c r="M10" s="591"/>
      <c r="N10" s="591"/>
      <c r="O10" s="591"/>
      <c r="P10" s="591"/>
      <c r="Q10" s="591"/>
      <c r="R10" s="592"/>
      <c r="S10" s="280"/>
      <c r="T10" s="281"/>
      <c r="U10" s="219"/>
    </row>
    <row r="11" spans="1:32" x14ac:dyDescent="0.25">
      <c r="C11" s="318" t="s">
        <v>166</v>
      </c>
      <c r="D11" s="288"/>
      <c r="E11" s="289" t="s">
        <v>155</v>
      </c>
      <c r="F11" s="290"/>
      <c r="G11" s="30"/>
      <c r="H11" s="254" t="s">
        <v>156</v>
      </c>
      <c r="I11" s="254"/>
      <c r="J11" s="30"/>
      <c r="K11" s="254" t="s">
        <v>157</v>
      </c>
      <c r="L11" s="254"/>
      <c r="M11" s="304"/>
      <c r="N11" s="305" t="s">
        <v>158</v>
      </c>
      <c r="O11" s="305"/>
      <c r="P11" s="576" t="s">
        <v>114</v>
      </c>
      <c r="Q11" s="577"/>
      <c r="R11" s="578"/>
      <c r="S11" s="319"/>
      <c r="T11" s="321"/>
      <c r="U11" s="217"/>
    </row>
    <row r="12" spans="1:32" x14ac:dyDescent="0.25">
      <c r="B12" s="49" t="s">
        <v>161</v>
      </c>
      <c r="C12" s="88" t="s">
        <v>165</v>
      </c>
      <c r="D12" s="593" t="s">
        <v>147</v>
      </c>
      <c r="E12" s="594"/>
      <c r="F12" s="594"/>
      <c r="G12" s="595" t="s">
        <v>163</v>
      </c>
      <c r="H12" s="596"/>
      <c r="I12" s="597"/>
      <c r="J12" s="595" t="s">
        <v>148</v>
      </c>
      <c r="K12" s="596"/>
      <c r="L12" s="597"/>
      <c r="M12" s="595" t="s">
        <v>148</v>
      </c>
      <c r="N12" s="596"/>
      <c r="O12" s="597"/>
      <c r="P12" s="565" t="s">
        <v>53</v>
      </c>
      <c r="Q12" s="566"/>
      <c r="R12" s="567"/>
      <c r="S12" s="320"/>
      <c r="T12" s="322"/>
      <c r="U12" s="218"/>
    </row>
    <row r="13" spans="1:32" x14ac:dyDescent="0.25">
      <c r="B13" s="49" t="s">
        <v>162</v>
      </c>
      <c r="C13" s="318" t="s">
        <v>162</v>
      </c>
      <c r="D13" s="74" t="s">
        <v>49</v>
      </c>
      <c r="E13" s="75" t="s">
        <v>50</v>
      </c>
      <c r="F13" s="76" t="s">
        <v>51</v>
      </c>
      <c r="G13" s="77" t="s">
        <v>49</v>
      </c>
      <c r="H13" s="78" t="s">
        <v>50</v>
      </c>
      <c r="I13" s="78" t="s">
        <v>51</v>
      </c>
      <c r="J13" s="77" t="s">
        <v>49</v>
      </c>
      <c r="K13" s="78" t="s">
        <v>50</v>
      </c>
      <c r="L13" s="78" t="s">
        <v>51</v>
      </c>
      <c r="M13" s="74" t="s">
        <v>49</v>
      </c>
      <c r="N13" s="75" t="s">
        <v>50</v>
      </c>
      <c r="O13" s="75" t="s">
        <v>51</v>
      </c>
      <c r="P13" s="122" t="s">
        <v>49</v>
      </c>
      <c r="Q13" s="123" t="s">
        <v>52</v>
      </c>
      <c r="R13" s="294" t="s">
        <v>51</v>
      </c>
      <c r="S13" s="118"/>
      <c r="T13" s="140"/>
      <c r="U13" s="88"/>
    </row>
    <row r="14" spans="1:32" ht="15.75" thickBot="1" x14ac:dyDescent="0.3">
      <c r="B14" s="49">
        <v>2013</v>
      </c>
      <c r="C14" s="49">
        <f>B14+3</f>
        <v>2016</v>
      </c>
      <c r="D14" s="87"/>
      <c r="E14" s="88"/>
      <c r="F14" s="88"/>
      <c r="G14" s="69"/>
      <c r="H14" s="70"/>
      <c r="I14" s="70"/>
      <c r="J14" s="306">
        <v>14550267</v>
      </c>
      <c r="K14" s="70"/>
      <c r="L14" s="70"/>
      <c r="N14" s="125"/>
      <c r="O14" s="295"/>
      <c r="P14" s="124">
        <v>174470583</v>
      </c>
      <c r="Q14" s="125"/>
      <c r="R14" s="295"/>
      <c r="S14" s="71"/>
      <c r="T14" s="141"/>
      <c r="U14" s="111"/>
    </row>
    <row r="15" spans="1:32" ht="16.5" thickTop="1" thickBot="1" x14ac:dyDescent="0.3">
      <c r="B15" s="49">
        <f>B14+1</f>
        <v>2014</v>
      </c>
      <c r="C15" s="49">
        <f t="shared" ref="C15:C45" si="0">B15+3</f>
        <v>2017</v>
      </c>
      <c r="D15" s="87"/>
      <c r="E15" s="75"/>
      <c r="F15" s="75"/>
      <c r="G15" s="291">
        <v>-39279139</v>
      </c>
      <c r="H15" s="292">
        <v>30</v>
      </c>
      <c r="I15" s="58">
        <f>IF(H15&gt;0,-PMT((1+H2)/(1+H3)-1,H6,G15,0,1)*((1+H2)^0.5)/H7,0)</f>
        <v>-552462.46195334732</v>
      </c>
      <c r="J15" s="307">
        <v>15919122</v>
      </c>
      <c r="K15" s="78"/>
      <c r="L15" s="78"/>
      <c r="M15" s="315"/>
      <c r="N15" s="78"/>
      <c r="O15" s="296"/>
      <c r="P15" s="91">
        <v>173990160</v>
      </c>
      <c r="Q15" s="387"/>
      <c r="R15" s="328"/>
      <c r="S15" s="68"/>
      <c r="T15" s="142"/>
      <c r="U15" s="111"/>
    </row>
    <row r="16" spans="1:32" ht="16.5" thickTop="1" thickBot="1" x14ac:dyDescent="0.3">
      <c r="A16" s="49">
        <v>1</v>
      </c>
      <c r="B16" s="49">
        <f>B15+1</f>
        <v>2015</v>
      </c>
      <c r="C16" s="49">
        <f t="shared" si="0"/>
        <v>2018</v>
      </c>
      <c r="D16" s="293">
        <v>197276421</v>
      </c>
      <c r="E16" s="245">
        <v>17</v>
      </c>
      <c r="F16" s="56">
        <f>-PMT(1.075/1.03-1,E16,D16*1.075^0.5,0,1)</f>
        <v>16573433.159497097</v>
      </c>
      <c r="G16" s="54">
        <f>G15*1.075-I15*1.075^0.5</f>
        <v>-41652269.152889468</v>
      </c>
      <c r="H16" s="63">
        <f>H15-1</f>
        <v>29</v>
      </c>
      <c r="I16" s="56">
        <f t="shared" ref="I16:I32" si="1">I$15*MIN(H$5,H$15+1-H16)*(1+H$3)^(H$15-H16)*IF(H16&lt;H$5,H16/H$5,1)</f>
        <v>-1138072.6716238954</v>
      </c>
      <c r="J16" s="200">
        <v>17399912</v>
      </c>
      <c r="K16" s="245">
        <v>30</v>
      </c>
      <c r="L16" s="56">
        <f>IF(K16&gt;0,-PMT((1+K2)/(1+K3)-1,K6,J16,0,1)*((1+K2)^0.5)/K7,0)</f>
        <v>244730.37001375182</v>
      </c>
      <c r="M16" s="316">
        <f>M15*1.075</f>
        <v>0</v>
      </c>
      <c r="P16" s="299">
        <f>D16+G16+J16+M16</f>
        <v>173024063.84711054</v>
      </c>
      <c r="Q16" s="395">
        <v>30</v>
      </c>
      <c r="R16" s="301">
        <f>F16+I16+L16+O16</f>
        <v>15680090.857886953</v>
      </c>
      <c r="S16" s="71"/>
      <c r="T16" s="141"/>
      <c r="U16" s="111"/>
      <c r="AF16" s="216">
        <v>500000</v>
      </c>
    </row>
    <row r="17" spans="1:32" ht="16.5" thickTop="1" thickBot="1" x14ac:dyDescent="0.3">
      <c r="A17" s="49">
        <f>A16+1</f>
        <v>2</v>
      </c>
      <c r="B17" s="49">
        <f t="shared" ref="B17:B45" si="2">B16+1</f>
        <v>2016</v>
      </c>
      <c r="C17" s="49">
        <f t="shared" si="0"/>
        <v>2019</v>
      </c>
      <c r="D17" s="54">
        <f>D16*1.07375-F16*1.07375^0.5</f>
        <v>194651849.24187624</v>
      </c>
      <c r="E17" s="63">
        <f>E16-1</f>
        <v>16</v>
      </c>
      <c r="F17" s="56">
        <f>-PMT(1.07375/1.03-1,E17,D17*1.07375^0.5,0,1)</f>
        <v>16909443.851918712</v>
      </c>
      <c r="G17" s="54">
        <f t="shared" ref="G17:G32" si="3">G16*1.075-I16*1.075^0.5</f>
        <v>-43596210.478808485</v>
      </c>
      <c r="H17" s="63">
        <f t="shared" ref="H17:H44" si="4">H16-1</f>
        <v>28</v>
      </c>
      <c r="I17" s="56">
        <f t="shared" si="1"/>
        <v>-1758322.2776589184</v>
      </c>
      <c r="J17" s="54">
        <f>J16*1.07-L16*1.07^0.5</f>
        <v>18364754.776823163</v>
      </c>
      <c r="K17" s="63">
        <f>K16-1</f>
        <v>29</v>
      </c>
      <c r="L17" s="56">
        <f>L$16*MIN(K$5,K$16+1-K17)*(1+K$3)^(K$16-K17)*IF(K17&lt;K$5,K17/K$5,1)</f>
        <v>504144.56222832878</v>
      </c>
      <c r="M17" s="200">
        <f>M15*1.075^2</f>
        <v>0</v>
      </c>
      <c r="N17" s="245">
        <v>30</v>
      </c>
      <c r="O17" s="56">
        <f>IF(N17&gt;0,-PMT((1+N2)/(1+N3)-1,N6,M17,0,1)*((1+N2)^0.5)/N7,0)</f>
        <v>0</v>
      </c>
      <c r="P17" s="54">
        <f>D17+G17+J17+M16</f>
        <v>169420393.53989092</v>
      </c>
      <c r="Q17" s="63">
        <f>Q16-1</f>
        <v>29</v>
      </c>
      <c r="R17" s="297">
        <f t="shared" ref="R17:R45" si="5">F17+I17+L17+O17</f>
        <v>15655266.136488123</v>
      </c>
      <c r="S17" s="63"/>
      <c r="T17" s="142"/>
      <c r="U17" s="111"/>
      <c r="W17" s="80"/>
      <c r="AF17" s="216">
        <v>500000</v>
      </c>
    </row>
    <row r="18" spans="1:32" ht="15.75" thickTop="1" x14ac:dyDescent="0.25">
      <c r="A18" s="49">
        <f t="shared" ref="A18:A45" si="6">A17+1</f>
        <v>3</v>
      </c>
      <c r="B18" s="49">
        <f t="shared" si="2"/>
        <v>2017</v>
      </c>
      <c r="C18" s="49">
        <f t="shared" si="0"/>
        <v>2020</v>
      </c>
      <c r="D18" s="54">
        <f>D17*1.0725-F17*1.0725^0.5</f>
        <v>191252421.78530017</v>
      </c>
      <c r="E18" s="63">
        <f t="shared" ref="E18:E32" si="7">E17-1</f>
        <v>15</v>
      </c>
      <c r="F18" s="56">
        <f>-PMT(1.0725/1.03-1,E18,D18*1.0725^0.5,0,1)</f>
        <v>17259504.84545349</v>
      </c>
      <c r="G18" s="54">
        <f t="shared" si="3"/>
        <v>-45042858.925172932</v>
      </c>
      <c r="H18" s="63">
        <f t="shared" si="4"/>
        <v>27</v>
      </c>
      <c r="I18" s="56">
        <f t="shared" si="1"/>
        <v>-2414762.5946515813</v>
      </c>
      <c r="J18" s="54">
        <f t="shared" ref="J18:J45" si="8">J17*1.07-L17*1.07^0.5</f>
        <v>19128796.421056505</v>
      </c>
      <c r="K18" s="63">
        <f t="shared" ref="K18:K45" si="9">K17-1</f>
        <v>28</v>
      </c>
      <c r="L18" s="56">
        <f t="shared" ref="L18:L45" si="10">L$16*MIN(K$5,K$16+1-K18)*(1+K$3)^(K$16-K18)*IF(K18&lt;K$5,K18/K$5,1)</f>
        <v>778903.34864276787</v>
      </c>
      <c r="M18" s="54">
        <f>M17*1.075-O17*1.075^0.5</f>
        <v>0</v>
      </c>
      <c r="N18" s="63">
        <f>N17-1</f>
        <v>29</v>
      </c>
      <c r="O18" s="56">
        <f t="shared" ref="O18:O46" si="11">O$17*MIN(N$5,N$17+1-N18)*(1+N$3)^(N$17-N18)*IF(N18&lt;N$5,N18/N$5,1)</f>
        <v>0</v>
      </c>
      <c r="P18" s="54">
        <f t="shared" ref="P18:P45" si="12">D18+G18+J18+M17</f>
        <v>165338359.28118375</v>
      </c>
      <c r="Q18" s="63">
        <f t="shared" ref="Q18:Q45" si="13">Q17-1</f>
        <v>28</v>
      </c>
      <c r="R18" s="297">
        <f t="shared" si="5"/>
        <v>15623645.599444676</v>
      </c>
      <c r="S18" s="63"/>
      <c r="T18" s="142"/>
      <c r="U18" s="111"/>
      <c r="AF18" s="216">
        <v>500000</v>
      </c>
    </row>
    <row r="19" spans="1:32" x14ac:dyDescent="0.25">
      <c r="A19" s="49">
        <f t="shared" si="6"/>
        <v>4</v>
      </c>
      <c r="B19" s="49">
        <f t="shared" si="2"/>
        <v>2018</v>
      </c>
      <c r="C19" s="49">
        <f t="shared" si="0"/>
        <v>2021</v>
      </c>
      <c r="D19" s="54">
        <f>D18*1.07-F18*1.07^0.5</f>
        <v>186786720.67512366</v>
      </c>
      <c r="E19" s="63">
        <f t="shared" si="7"/>
        <v>14</v>
      </c>
      <c r="F19" s="56">
        <f>-PMT(1.07/1.03-1,E19,D19*1.07^0.5,0,1)</f>
        <v>17472394.421008881</v>
      </c>
      <c r="G19" s="54">
        <f t="shared" si="3"/>
        <v>-45917394.1982508</v>
      </c>
      <c r="H19" s="63">
        <f t="shared" si="4"/>
        <v>26</v>
      </c>
      <c r="I19" s="56">
        <f t="shared" si="1"/>
        <v>-3109006.8406139109</v>
      </c>
      <c r="J19" s="54">
        <f t="shared" si="8"/>
        <v>19662108.281757545</v>
      </c>
      <c r="K19" s="63">
        <f t="shared" si="9"/>
        <v>27</v>
      </c>
      <c r="L19" s="56">
        <f t="shared" si="10"/>
        <v>1069693.9321360679</v>
      </c>
      <c r="M19" s="54">
        <f t="shared" ref="M19:M46" si="14">M18*1.075-O18*1.075^0.5</f>
        <v>0</v>
      </c>
      <c r="N19" s="63">
        <f t="shared" ref="N19:N46" si="15">N18-1</f>
        <v>28</v>
      </c>
      <c r="O19" s="56">
        <f t="shared" si="11"/>
        <v>0</v>
      </c>
      <c r="P19" s="54">
        <f t="shared" si="12"/>
        <v>160531434.75863039</v>
      </c>
      <c r="Q19" s="63">
        <f t="shared" si="13"/>
        <v>27</v>
      </c>
      <c r="R19" s="297">
        <f t="shared" si="5"/>
        <v>15433081.512531038</v>
      </c>
      <c r="S19" s="63"/>
      <c r="T19" s="142"/>
      <c r="U19" s="111"/>
      <c r="AF19" s="216">
        <v>500000</v>
      </c>
    </row>
    <row r="20" spans="1:32" x14ac:dyDescent="0.25">
      <c r="A20" s="49">
        <f t="shared" si="6"/>
        <v>5</v>
      </c>
      <c r="B20" s="49">
        <f t="shared" si="2"/>
        <v>2019</v>
      </c>
      <c r="C20" s="49">
        <f t="shared" si="0"/>
        <v>2022</v>
      </c>
      <c r="D20" s="54">
        <f t="shared" ref="D20:D32" si="16">D19*1.07-F19*1.07^0.5</f>
        <v>181788205.79795009</v>
      </c>
      <c r="E20" s="63">
        <f t="shared" si="7"/>
        <v>13</v>
      </c>
      <c r="F20" s="56">
        <f t="shared" ref="F20:F32" si="17">-PMT(1.07/1.03-1,E20,D20*1.07^0.5,0,1)</f>
        <v>17996566.253639158</v>
      </c>
      <c r="G20" s="54">
        <f t="shared" si="3"/>
        <v>-46137711.862245351</v>
      </c>
      <c r="H20" s="63">
        <f t="shared" si="4"/>
        <v>25</v>
      </c>
      <c r="I20" s="56">
        <f t="shared" si="1"/>
        <v>-3202277.045832328</v>
      </c>
      <c r="J20" s="54">
        <f t="shared" si="8"/>
        <v>19931955.854232434</v>
      </c>
      <c r="K20" s="63">
        <f t="shared" si="9"/>
        <v>26</v>
      </c>
      <c r="L20" s="56">
        <f t="shared" si="10"/>
        <v>1377230.9376251874</v>
      </c>
      <c r="M20" s="54">
        <f t="shared" si="14"/>
        <v>0</v>
      </c>
      <c r="N20" s="63">
        <f t="shared" si="15"/>
        <v>27</v>
      </c>
      <c r="O20" s="56">
        <f t="shared" si="11"/>
        <v>0</v>
      </c>
      <c r="P20" s="54">
        <f t="shared" si="12"/>
        <v>155582449.78993717</v>
      </c>
      <c r="Q20" s="63">
        <f t="shared" si="13"/>
        <v>26</v>
      </c>
      <c r="R20" s="297">
        <f t="shared" si="5"/>
        <v>16171520.145432018</v>
      </c>
      <c r="S20" s="63"/>
      <c r="T20" s="142"/>
      <c r="U20" s="111"/>
      <c r="AF20" s="216">
        <v>500000</v>
      </c>
    </row>
    <row r="21" spans="1:32" x14ac:dyDescent="0.25">
      <c r="A21" s="49">
        <f t="shared" si="6"/>
        <v>6</v>
      </c>
      <c r="B21" s="49">
        <f t="shared" si="2"/>
        <v>2020</v>
      </c>
      <c r="C21" s="49">
        <f t="shared" si="0"/>
        <v>2023</v>
      </c>
      <c r="D21" s="54">
        <f t="shared" si="16"/>
        <v>175897587.31964135</v>
      </c>
      <c r="E21" s="63">
        <f t="shared" si="7"/>
        <v>12</v>
      </c>
      <c r="F21" s="56">
        <f t="shared" si="17"/>
        <v>18536463.241248328</v>
      </c>
      <c r="G21" s="54">
        <f t="shared" si="3"/>
        <v>-46277848.744013265</v>
      </c>
      <c r="H21" s="63">
        <f t="shared" si="4"/>
        <v>24</v>
      </c>
      <c r="I21" s="56">
        <f t="shared" si="1"/>
        <v>-3298345.3572072983</v>
      </c>
      <c r="J21" s="54">
        <f t="shared" si="8"/>
        <v>19902574.004696727</v>
      </c>
      <c r="K21" s="63">
        <f t="shared" si="9"/>
        <v>25</v>
      </c>
      <c r="L21" s="56">
        <f t="shared" si="10"/>
        <v>1418547.8657539431</v>
      </c>
      <c r="M21" s="54">
        <f t="shared" si="14"/>
        <v>0</v>
      </c>
      <c r="N21" s="63">
        <f t="shared" si="15"/>
        <v>26</v>
      </c>
      <c r="O21" s="56">
        <f t="shared" si="11"/>
        <v>0</v>
      </c>
      <c r="P21" s="54">
        <f t="shared" si="12"/>
        <v>149522312.58032483</v>
      </c>
      <c r="Q21" s="63">
        <f t="shared" si="13"/>
        <v>25</v>
      </c>
      <c r="R21" s="297">
        <f t="shared" si="5"/>
        <v>16656665.749794973</v>
      </c>
      <c r="S21" s="63"/>
      <c r="T21" s="142"/>
      <c r="U21" s="111"/>
      <c r="AF21" s="216">
        <v>500000</v>
      </c>
    </row>
    <row r="22" spans="1:32" x14ac:dyDescent="0.25">
      <c r="A22" s="49">
        <f t="shared" si="6"/>
        <v>7</v>
      </c>
      <c r="B22" s="49">
        <f t="shared" si="2"/>
        <v>2021</v>
      </c>
      <c r="C22" s="49">
        <f t="shared" si="0"/>
        <v>2024</v>
      </c>
      <c r="D22" s="54">
        <f t="shared" si="16"/>
        <v>169036151.76132604</v>
      </c>
      <c r="E22" s="63">
        <f t="shared" si="7"/>
        <v>11</v>
      </c>
      <c r="F22" s="56">
        <f t="shared" si="17"/>
        <v>19092557.138485778</v>
      </c>
      <c r="G22" s="54">
        <f t="shared" si="3"/>
        <v>-46328890.146676764</v>
      </c>
      <c r="H22" s="63">
        <f t="shared" si="4"/>
        <v>23</v>
      </c>
      <c r="I22" s="56">
        <f t="shared" si="1"/>
        <v>-3397295.7179235173</v>
      </c>
      <c r="J22" s="54">
        <f t="shared" si="8"/>
        <v>19828396.86291356</v>
      </c>
      <c r="K22" s="63">
        <f t="shared" si="9"/>
        <v>24</v>
      </c>
      <c r="L22" s="56">
        <f t="shared" si="10"/>
        <v>1461104.3017265613</v>
      </c>
      <c r="M22" s="54">
        <f t="shared" si="14"/>
        <v>0</v>
      </c>
      <c r="N22" s="63">
        <f t="shared" si="15"/>
        <v>25</v>
      </c>
      <c r="O22" s="56">
        <f t="shared" si="11"/>
        <v>0</v>
      </c>
      <c r="P22" s="54">
        <f t="shared" si="12"/>
        <v>142535658.47756284</v>
      </c>
      <c r="Q22" s="63">
        <f t="shared" si="13"/>
        <v>24</v>
      </c>
      <c r="R22" s="297">
        <f t="shared" si="5"/>
        <v>17156365.722288821</v>
      </c>
      <c r="S22" s="63"/>
      <c r="T22" s="142"/>
      <c r="U22" s="111"/>
      <c r="AF22" s="216">
        <v>500000</v>
      </c>
    </row>
    <row r="23" spans="1:32" x14ac:dyDescent="0.25">
      <c r="A23" s="49">
        <f t="shared" si="6"/>
        <v>8</v>
      </c>
      <c r="B23" s="49">
        <f t="shared" si="2"/>
        <v>2022</v>
      </c>
      <c r="C23" s="49">
        <f t="shared" si="0"/>
        <v>2025</v>
      </c>
      <c r="D23" s="54">
        <f t="shared" si="16"/>
        <v>161119187.71380797</v>
      </c>
      <c r="E23" s="63">
        <f t="shared" si="7"/>
        <v>10</v>
      </c>
      <c r="F23" s="56">
        <f t="shared" si="17"/>
        <v>19665333.852640357</v>
      </c>
      <c r="G23" s="64">
        <f t="shared" si="3"/>
        <v>-46281165.736945897</v>
      </c>
      <c r="H23" s="63">
        <f t="shared" si="4"/>
        <v>22</v>
      </c>
      <c r="I23" s="56">
        <f t="shared" si="1"/>
        <v>-3499214.5894612228</v>
      </c>
      <c r="J23" s="54">
        <f t="shared" si="8"/>
        <v>19705006.601542212</v>
      </c>
      <c r="K23" s="63">
        <f t="shared" si="9"/>
        <v>23</v>
      </c>
      <c r="L23" s="56">
        <f t="shared" si="10"/>
        <v>1504937.4307783584</v>
      </c>
      <c r="M23" s="54">
        <f t="shared" si="14"/>
        <v>0</v>
      </c>
      <c r="N23" s="63">
        <f t="shared" si="15"/>
        <v>24</v>
      </c>
      <c r="O23" s="56">
        <f t="shared" si="11"/>
        <v>0</v>
      </c>
      <c r="P23" s="54">
        <f t="shared" si="12"/>
        <v>134543028.57840428</v>
      </c>
      <c r="Q23" s="63">
        <f t="shared" si="13"/>
        <v>23</v>
      </c>
      <c r="R23" s="297">
        <f t="shared" si="5"/>
        <v>17671056.693957493</v>
      </c>
      <c r="S23" s="63"/>
      <c r="T23" s="142"/>
      <c r="U23" s="111"/>
      <c r="AF23" s="216">
        <v>500000</v>
      </c>
    </row>
    <row r="24" spans="1:32" x14ac:dyDescent="0.25">
      <c r="A24" s="49">
        <f t="shared" si="6"/>
        <v>9</v>
      </c>
      <c r="B24" s="49">
        <f t="shared" si="2"/>
        <v>2023</v>
      </c>
      <c r="C24" s="49">
        <f t="shared" si="0"/>
        <v>2026</v>
      </c>
      <c r="D24" s="54">
        <f t="shared" si="16"/>
        <v>152055551.3428393</v>
      </c>
      <c r="E24" s="63">
        <f t="shared" si="7"/>
        <v>9</v>
      </c>
      <c r="F24" s="56">
        <f t="shared" si="17"/>
        <v>20255293.868219573</v>
      </c>
      <c r="G24" s="64">
        <f t="shared" si="3"/>
        <v>-46124190.261363268</v>
      </c>
      <c r="H24" s="63">
        <f t="shared" si="4"/>
        <v>21</v>
      </c>
      <c r="I24" s="56">
        <f t="shared" si="1"/>
        <v>-3604191.0271450593</v>
      </c>
      <c r="J24" s="54">
        <f t="shared" si="8"/>
        <v>19527637.680621613</v>
      </c>
      <c r="K24" s="63">
        <f t="shared" si="9"/>
        <v>22</v>
      </c>
      <c r="L24" s="56">
        <f t="shared" si="10"/>
        <v>1550085.5537017088</v>
      </c>
      <c r="M24" s="54">
        <f t="shared" si="14"/>
        <v>0</v>
      </c>
      <c r="N24" s="63">
        <f t="shared" si="15"/>
        <v>23</v>
      </c>
      <c r="O24" s="56">
        <f t="shared" si="11"/>
        <v>0</v>
      </c>
      <c r="P24" s="54">
        <f t="shared" si="12"/>
        <v>125458998.76209764</v>
      </c>
      <c r="Q24" s="63">
        <f t="shared" si="13"/>
        <v>22</v>
      </c>
      <c r="R24" s="297">
        <f t="shared" si="5"/>
        <v>18201188.394776221</v>
      </c>
      <c r="S24" s="63"/>
      <c r="T24" s="142"/>
      <c r="U24" s="111"/>
      <c r="AF24" s="216">
        <v>500000</v>
      </c>
    </row>
    <row r="25" spans="1:32" x14ac:dyDescent="0.25">
      <c r="A25" s="49">
        <f t="shared" si="6"/>
        <v>10</v>
      </c>
      <c r="B25" s="49">
        <f t="shared" si="2"/>
        <v>2024</v>
      </c>
      <c r="C25" s="49">
        <f t="shared" si="0"/>
        <v>2027</v>
      </c>
      <c r="D25" s="54">
        <f t="shared" si="16"/>
        <v>141747201.04057476</v>
      </c>
      <c r="E25" s="63">
        <f t="shared" si="7"/>
        <v>8</v>
      </c>
      <c r="F25" s="56">
        <f t="shared" si="17"/>
        <v>20862952.684266157</v>
      </c>
      <c r="G25" s="64">
        <f t="shared" si="3"/>
        <v>-45846599.73793634</v>
      </c>
      <c r="H25" s="63">
        <f t="shared" si="4"/>
        <v>20</v>
      </c>
      <c r="I25" s="56">
        <f t="shared" si="1"/>
        <v>-3712316.757959411</v>
      </c>
      <c r="J25" s="54">
        <f t="shared" si="8"/>
        <v>19291151.353745714</v>
      </c>
      <c r="K25" s="63">
        <f t="shared" si="9"/>
        <v>21</v>
      </c>
      <c r="L25" s="56">
        <f t="shared" si="10"/>
        <v>1596588.1203127601</v>
      </c>
      <c r="M25" s="54">
        <f t="shared" si="14"/>
        <v>0</v>
      </c>
      <c r="N25" s="63">
        <f t="shared" si="15"/>
        <v>22</v>
      </c>
      <c r="O25" s="56">
        <f t="shared" si="11"/>
        <v>0</v>
      </c>
      <c r="P25" s="54">
        <f t="shared" si="12"/>
        <v>115191752.65638413</v>
      </c>
      <c r="Q25" s="63">
        <f t="shared" si="13"/>
        <v>21</v>
      </c>
      <c r="R25" s="297">
        <f t="shared" si="5"/>
        <v>18747224.046619508</v>
      </c>
      <c r="S25" s="63"/>
      <c r="T25" s="142"/>
      <c r="U25" s="111"/>
      <c r="AF25" s="216">
        <v>500000</v>
      </c>
    </row>
    <row r="26" spans="1:32" x14ac:dyDescent="0.25">
      <c r="A26" s="49">
        <f t="shared" si="6"/>
        <v>11</v>
      </c>
      <c r="B26" s="49">
        <f t="shared" si="2"/>
        <v>2025</v>
      </c>
      <c r="C26" s="49">
        <f t="shared" si="0"/>
        <v>2028</v>
      </c>
      <c r="D26" s="54">
        <f t="shared" si="16"/>
        <v>130088699.05026381</v>
      </c>
      <c r="E26" s="63">
        <f t="shared" si="7"/>
        <v>7</v>
      </c>
      <c r="F26" s="56">
        <f t="shared" si="17"/>
        <v>21488841.264794141</v>
      </c>
      <c r="G26" s="64">
        <f t="shared" si="3"/>
        <v>-45436082.781461515</v>
      </c>
      <c r="H26" s="63">
        <f t="shared" si="4"/>
        <v>19</v>
      </c>
      <c r="I26" s="56">
        <f t="shared" si="1"/>
        <v>-3823686.2606981937</v>
      </c>
      <c r="J26" s="54">
        <f t="shared" si="8"/>
        <v>18990008.355052922</v>
      </c>
      <c r="K26" s="63">
        <f t="shared" si="9"/>
        <v>20</v>
      </c>
      <c r="L26" s="56">
        <f t="shared" si="10"/>
        <v>1644485.763922143</v>
      </c>
      <c r="M26" s="54">
        <f t="shared" si="14"/>
        <v>0</v>
      </c>
      <c r="N26" s="63">
        <f t="shared" si="15"/>
        <v>21</v>
      </c>
      <c r="O26" s="56">
        <f t="shared" si="11"/>
        <v>0</v>
      </c>
      <c r="P26" s="54">
        <f t="shared" si="12"/>
        <v>103642624.6238552</v>
      </c>
      <c r="Q26" s="63">
        <f t="shared" si="13"/>
        <v>20</v>
      </c>
      <c r="R26" s="297">
        <f t="shared" si="5"/>
        <v>19309640.768018093</v>
      </c>
      <c r="S26" s="63"/>
      <c r="T26" s="142"/>
      <c r="U26" s="111"/>
      <c r="AF26" s="216">
        <v>500000</v>
      </c>
    </row>
    <row r="27" spans="1:32" x14ac:dyDescent="0.25">
      <c r="A27" s="49">
        <f t="shared" si="6"/>
        <v>12</v>
      </c>
      <c r="B27" s="49">
        <f t="shared" si="2"/>
        <v>2026</v>
      </c>
      <c r="C27" s="49">
        <f t="shared" si="0"/>
        <v>2029</v>
      </c>
      <c r="D27" s="54">
        <f t="shared" si="16"/>
        <v>116966677.73873655</v>
      </c>
      <c r="E27" s="63">
        <f t="shared" si="7"/>
        <v>6</v>
      </c>
      <c r="F27" s="56">
        <f t="shared" si="17"/>
        <v>22133506.502737977</v>
      </c>
      <c r="G27" s="64">
        <f t="shared" si="3"/>
        <v>-44879306.695146471</v>
      </c>
      <c r="H27" s="63">
        <f t="shared" si="4"/>
        <v>18</v>
      </c>
      <c r="I27" s="56">
        <f t="shared" si="1"/>
        <v>-3938396.848519139</v>
      </c>
      <c r="J27" s="54">
        <f t="shared" si="8"/>
        <v>18618239.638647981</v>
      </c>
      <c r="K27" s="63">
        <f t="shared" si="9"/>
        <v>19</v>
      </c>
      <c r="L27" s="56">
        <f t="shared" si="10"/>
        <v>1693820.3368398072</v>
      </c>
      <c r="M27" s="54">
        <f t="shared" si="14"/>
        <v>0</v>
      </c>
      <c r="N27" s="63">
        <f t="shared" si="15"/>
        <v>20</v>
      </c>
      <c r="O27" s="56">
        <f t="shared" si="11"/>
        <v>0</v>
      </c>
      <c r="P27" s="54">
        <f t="shared" si="12"/>
        <v>90705610.682238072</v>
      </c>
      <c r="Q27" s="63">
        <f t="shared" si="13"/>
        <v>19</v>
      </c>
      <c r="R27" s="297">
        <f t="shared" si="5"/>
        <v>19888929.991058644</v>
      </c>
      <c r="S27" s="63"/>
      <c r="T27" s="142"/>
      <c r="U27" s="111"/>
      <c r="AF27" s="216">
        <v>500000</v>
      </c>
    </row>
    <row r="28" spans="1:32" s="50" customFormat="1" x14ac:dyDescent="0.25">
      <c r="A28" s="49">
        <f t="shared" si="6"/>
        <v>13</v>
      </c>
      <c r="B28" s="49">
        <f t="shared" si="2"/>
        <v>2027</v>
      </c>
      <c r="C28" s="49">
        <f t="shared" si="0"/>
        <v>2030</v>
      </c>
      <c r="D28" s="54">
        <f t="shared" si="16"/>
        <v>102259268.028051</v>
      </c>
      <c r="E28" s="63">
        <f t="shared" si="7"/>
        <v>5</v>
      </c>
      <c r="F28" s="56">
        <f t="shared" si="17"/>
        <v>22797511.697820108</v>
      </c>
      <c r="G28" s="64">
        <f t="shared" si="3"/>
        <v>-44161837.933510065</v>
      </c>
      <c r="H28" s="63">
        <f t="shared" si="4"/>
        <v>17</v>
      </c>
      <c r="I28" s="56">
        <f t="shared" si="1"/>
        <v>-4056548.7539747129</v>
      </c>
      <c r="J28" s="54">
        <f t="shared" si="8"/>
        <v>18169415.033056937</v>
      </c>
      <c r="K28" s="63">
        <f t="shared" si="9"/>
        <v>18</v>
      </c>
      <c r="L28" s="56">
        <f t="shared" si="10"/>
        <v>1744634.9469450014</v>
      </c>
      <c r="M28" s="54">
        <f t="shared" si="14"/>
        <v>0</v>
      </c>
      <c r="N28" s="63">
        <f t="shared" si="15"/>
        <v>19</v>
      </c>
      <c r="O28" s="56">
        <f t="shared" si="11"/>
        <v>0</v>
      </c>
      <c r="P28" s="54">
        <f t="shared" si="12"/>
        <v>76266845.127597868</v>
      </c>
      <c r="Q28" s="63">
        <f t="shared" si="13"/>
        <v>18</v>
      </c>
      <c r="R28" s="297">
        <f t="shared" si="5"/>
        <v>20485597.890790395</v>
      </c>
      <c r="S28" s="63"/>
      <c r="T28" s="142"/>
      <c r="U28" s="111"/>
      <c r="V28" s="73"/>
      <c r="W28" s="49"/>
      <c r="AF28" s="216">
        <v>500000</v>
      </c>
    </row>
    <row r="29" spans="1:32" s="50" customFormat="1" x14ac:dyDescent="0.25">
      <c r="A29" s="49">
        <f t="shared" si="6"/>
        <v>14</v>
      </c>
      <c r="B29" s="49">
        <f t="shared" si="2"/>
        <v>2028</v>
      </c>
      <c r="C29" s="49">
        <f t="shared" si="0"/>
        <v>2031</v>
      </c>
      <c r="D29" s="54">
        <f t="shared" si="16"/>
        <v>85835487.323045552</v>
      </c>
      <c r="E29" s="63">
        <f t="shared" si="7"/>
        <v>4</v>
      </c>
      <c r="F29" s="56">
        <f t="shared" si="17"/>
        <v>23481437.048754714</v>
      </c>
      <c r="G29" s="64">
        <f t="shared" si="3"/>
        <v>-43268056.511837758</v>
      </c>
      <c r="H29" s="63">
        <f t="shared" si="4"/>
        <v>16</v>
      </c>
      <c r="I29" s="56">
        <f t="shared" si="1"/>
        <v>-4178245.2165939547</v>
      </c>
      <c r="J29" s="54">
        <f t="shared" si="8"/>
        <v>17636609.663665626</v>
      </c>
      <c r="K29" s="63">
        <f t="shared" si="9"/>
        <v>17</v>
      </c>
      <c r="L29" s="56">
        <f t="shared" si="10"/>
        <v>1796973.9953533513</v>
      </c>
      <c r="M29" s="54">
        <f t="shared" si="14"/>
        <v>0</v>
      </c>
      <c r="N29" s="63">
        <f t="shared" si="15"/>
        <v>18</v>
      </c>
      <c r="O29" s="56">
        <f t="shared" si="11"/>
        <v>0</v>
      </c>
      <c r="P29" s="54">
        <f t="shared" si="12"/>
        <v>60204040.474873424</v>
      </c>
      <c r="Q29" s="63">
        <f t="shared" si="13"/>
        <v>17</v>
      </c>
      <c r="R29" s="297">
        <f t="shared" si="5"/>
        <v>21100165.827514112</v>
      </c>
      <c r="S29" s="63"/>
      <c r="T29" s="142"/>
      <c r="U29" s="111"/>
      <c r="V29" s="73"/>
      <c r="W29" s="49"/>
      <c r="AF29" s="216">
        <v>500000</v>
      </c>
    </row>
    <row r="30" spans="1:32" s="50" customFormat="1" x14ac:dyDescent="0.25">
      <c r="A30" s="49">
        <f t="shared" si="6"/>
        <v>15</v>
      </c>
      <c r="B30" s="49">
        <f t="shared" si="2"/>
        <v>2029</v>
      </c>
      <c r="C30" s="49">
        <f t="shared" si="0"/>
        <v>2032</v>
      </c>
      <c r="D30" s="54">
        <f t="shared" si="16"/>
        <v>67554584.084680662</v>
      </c>
      <c r="E30" s="63">
        <f t="shared" si="7"/>
        <v>3</v>
      </c>
      <c r="F30" s="56">
        <f t="shared" si="17"/>
        <v>24185880.16021736</v>
      </c>
      <c r="G30" s="64">
        <f t="shared" si="3"/>
        <v>-42181063.90553946</v>
      </c>
      <c r="H30" s="63">
        <f t="shared" si="4"/>
        <v>15</v>
      </c>
      <c r="I30" s="56">
        <f t="shared" si="1"/>
        <v>-4303592.5730917733</v>
      </c>
      <c r="J30" s="54">
        <f t="shared" si="8"/>
        <v>17012367.985765766</v>
      </c>
      <c r="K30" s="63">
        <f t="shared" si="9"/>
        <v>16</v>
      </c>
      <c r="L30" s="56">
        <f t="shared" si="10"/>
        <v>1850883.2152139519</v>
      </c>
      <c r="M30" s="54">
        <f t="shared" si="14"/>
        <v>0</v>
      </c>
      <c r="N30" s="63">
        <f t="shared" si="15"/>
        <v>17</v>
      </c>
      <c r="O30" s="56">
        <f t="shared" si="11"/>
        <v>0</v>
      </c>
      <c r="P30" s="54">
        <f t="shared" si="12"/>
        <v>42385888.164906964</v>
      </c>
      <c r="Q30" s="63">
        <f t="shared" si="13"/>
        <v>16</v>
      </c>
      <c r="R30" s="297">
        <f t="shared" si="5"/>
        <v>21733170.802339535</v>
      </c>
      <c r="S30" s="63"/>
      <c r="T30" s="142"/>
      <c r="U30" s="111"/>
      <c r="V30" s="73"/>
      <c r="W30" s="49"/>
      <c r="AF30" s="216">
        <v>500000</v>
      </c>
    </row>
    <row r="31" spans="1:32" s="50" customFormat="1" x14ac:dyDescent="0.25">
      <c r="A31" s="49">
        <f t="shared" si="6"/>
        <v>16</v>
      </c>
      <c r="B31" s="49">
        <f t="shared" si="2"/>
        <v>2030</v>
      </c>
      <c r="C31" s="49">
        <f t="shared" si="0"/>
        <v>2033</v>
      </c>
      <c r="D31" s="54">
        <f t="shared" si="16"/>
        <v>47265335.999100864</v>
      </c>
      <c r="E31" s="63">
        <f t="shared" si="7"/>
        <v>2</v>
      </c>
      <c r="F31" s="56">
        <f t="shared" si="17"/>
        <v>24911456.565023873</v>
      </c>
      <c r="G31" s="64">
        <f t="shared" si="3"/>
        <v>-40882583.948428199</v>
      </c>
      <c r="H31" s="63">
        <f t="shared" si="4"/>
        <v>14</v>
      </c>
      <c r="I31" s="56">
        <f t="shared" si="1"/>
        <v>-4432700.3502845261</v>
      </c>
      <c r="J31" s="54">
        <f t="shared" si="8"/>
        <v>16288665.259782223</v>
      </c>
      <c r="K31" s="63">
        <f t="shared" si="9"/>
        <v>15</v>
      </c>
      <c r="L31" s="56">
        <f t="shared" si="10"/>
        <v>1906409.7116703708</v>
      </c>
      <c r="M31" s="54">
        <f t="shared" si="14"/>
        <v>0</v>
      </c>
      <c r="N31" s="63">
        <f t="shared" si="15"/>
        <v>16</v>
      </c>
      <c r="O31" s="56">
        <f t="shared" si="11"/>
        <v>0</v>
      </c>
      <c r="P31" s="54">
        <f t="shared" si="12"/>
        <v>22671417.31045489</v>
      </c>
      <c r="Q31" s="63">
        <f t="shared" si="13"/>
        <v>15</v>
      </c>
      <c r="R31" s="297">
        <f t="shared" si="5"/>
        <v>22385165.926409714</v>
      </c>
      <c r="S31" s="63"/>
      <c r="T31" s="142"/>
      <c r="U31" s="111"/>
      <c r="V31" s="73"/>
      <c r="W31" s="49"/>
      <c r="AF31" s="216">
        <v>500000</v>
      </c>
    </row>
    <row r="32" spans="1:32" s="50" customFormat="1" x14ac:dyDescent="0.25">
      <c r="A32" s="49">
        <f t="shared" si="6"/>
        <v>17</v>
      </c>
      <c r="B32" s="49">
        <f t="shared" si="2"/>
        <v>2031</v>
      </c>
      <c r="C32" s="49">
        <f t="shared" si="0"/>
        <v>2034</v>
      </c>
      <c r="D32" s="54">
        <f t="shared" si="16"/>
        <v>24805298.47838527</v>
      </c>
      <c r="E32" s="63">
        <f t="shared" si="7"/>
        <v>1</v>
      </c>
      <c r="F32" s="56">
        <f t="shared" si="17"/>
        <v>25658800.261974592</v>
      </c>
      <c r="G32" s="64">
        <f t="shared" si="3"/>
        <v>-39352856.20203279</v>
      </c>
      <c r="H32" s="63">
        <f t="shared" si="4"/>
        <v>13</v>
      </c>
      <c r="I32" s="56">
        <f t="shared" si="1"/>
        <v>-4565681.3607930616</v>
      </c>
      <c r="J32" s="54">
        <f t="shared" si="8"/>
        <v>15456866.288430218</v>
      </c>
      <c r="K32" s="63">
        <f t="shared" si="9"/>
        <v>14</v>
      </c>
      <c r="L32" s="56">
        <f t="shared" si="10"/>
        <v>1963602.0030204814</v>
      </c>
      <c r="M32" s="54">
        <f t="shared" si="14"/>
        <v>0</v>
      </c>
      <c r="N32" s="63">
        <f t="shared" si="15"/>
        <v>15</v>
      </c>
      <c r="O32" s="56">
        <f t="shared" si="11"/>
        <v>0</v>
      </c>
      <c r="P32" s="54">
        <f t="shared" si="12"/>
        <v>909308.56478269771</v>
      </c>
      <c r="Q32" s="63">
        <f t="shared" si="13"/>
        <v>14</v>
      </c>
      <c r="R32" s="297">
        <f t="shared" si="5"/>
        <v>23056720.90420201</v>
      </c>
      <c r="S32" s="63"/>
      <c r="T32" s="142"/>
      <c r="U32" s="111"/>
      <c r="V32" s="73"/>
      <c r="W32" s="49"/>
      <c r="AF32" s="216">
        <v>500000</v>
      </c>
    </row>
    <row r="33" spans="1:32" s="50" customFormat="1" x14ac:dyDescent="0.25">
      <c r="A33" s="49">
        <f t="shared" si="6"/>
        <v>18</v>
      </c>
      <c r="B33" s="49">
        <f t="shared" si="2"/>
        <v>2032</v>
      </c>
      <c r="C33" s="49">
        <f t="shared" si="0"/>
        <v>2035</v>
      </c>
      <c r="D33" s="54"/>
      <c r="E33" s="63"/>
      <c r="F33" s="56"/>
      <c r="G33" s="64">
        <f t="shared" ref="G33:G44" si="18">G32*1.075-I32*1.075^0.5</f>
        <v>-37570521.228381902</v>
      </c>
      <c r="H33" s="63">
        <f t="shared" si="4"/>
        <v>12</v>
      </c>
      <c r="I33" s="56">
        <f t="shared" ref="I33:I44" si="19">I$15*MIN(H$5,H$15+1-H33)*(1+H$3)^(H$15-H33)*IF(H33&lt;H$5,H33/H$5,1)</f>
        <v>-4702651.801616854</v>
      </c>
      <c r="J33" s="54">
        <f t="shared" si="8"/>
        <v>14507681.222897468</v>
      </c>
      <c r="K33" s="63">
        <f t="shared" si="9"/>
        <v>13</v>
      </c>
      <c r="L33" s="56">
        <f t="shared" si="10"/>
        <v>2022510.0631110959</v>
      </c>
      <c r="M33" s="54">
        <f t="shared" si="14"/>
        <v>0</v>
      </c>
      <c r="N33" s="63">
        <f t="shared" si="15"/>
        <v>14</v>
      </c>
      <c r="O33" s="56">
        <f t="shared" si="11"/>
        <v>0</v>
      </c>
      <c r="P33" s="54">
        <f t="shared" si="12"/>
        <v>-23062840.005484432</v>
      </c>
      <c r="Q33" s="63">
        <f t="shared" si="13"/>
        <v>13</v>
      </c>
      <c r="R33" s="297">
        <f t="shared" si="5"/>
        <v>-2680141.7385057583</v>
      </c>
      <c r="S33" s="63"/>
      <c r="T33" s="142"/>
      <c r="U33" s="111"/>
      <c r="V33" s="73"/>
      <c r="W33" s="49"/>
      <c r="AF33" s="216">
        <v>500000</v>
      </c>
    </row>
    <row r="34" spans="1:32" s="50" customFormat="1" x14ac:dyDescent="0.25">
      <c r="A34" s="49">
        <f t="shared" si="6"/>
        <v>19</v>
      </c>
      <c r="B34" s="49">
        <f t="shared" si="2"/>
        <v>2033</v>
      </c>
      <c r="C34" s="49">
        <f t="shared" si="0"/>
        <v>2036</v>
      </c>
      <c r="D34" s="54"/>
      <c r="E34" s="63"/>
      <c r="F34" s="56"/>
      <c r="G34" s="64">
        <f t="shared" si="18"/>
        <v>-35512497.156043105</v>
      </c>
      <c r="H34" s="63">
        <f t="shared" si="4"/>
        <v>11</v>
      </c>
      <c r="I34" s="56">
        <f t="shared" si="19"/>
        <v>-4843731.3556653587</v>
      </c>
      <c r="J34" s="54">
        <f t="shared" si="8"/>
        <v>13431118.231605738</v>
      </c>
      <c r="K34" s="63">
        <f t="shared" si="9"/>
        <v>12</v>
      </c>
      <c r="L34" s="56">
        <f t="shared" si="10"/>
        <v>2083185.3650044287</v>
      </c>
      <c r="M34" s="54">
        <f t="shared" si="14"/>
        <v>0</v>
      </c>
      <c r="N34" s="63">
        <f t="shared" si="15"/>
        <v>13</v>
      </c>
      <c r="O34" s="56">
        <f t="shared" si="11"/>
        <v>0</v>
      </c>
      <c r="P34" s="54">
        <f t="shared" si="12"/>
        <v>-22081378.924437366</v>
      </c>
      <c r="Q34" s="63">
        <f t="shared" si="13"/>
        <v>12</v>
      </c>
      <c r="R34" s="297">
        <f t="shared" si="5"/>
        <v>-2760545.9906609301</v>
      </c>
      <c r="S34" s="63"/>
      <c r="T34" s="142"/>
      <c r="U34" s="111"/>
      <c r="V34" s="73"/>
      <c r="W34" s="49"/>
      <c r="AF34" s="216">
        <v>500000</v>
      </c>
    </row>
    <row r="35" spans="1:32" s="50" customFormat="1" x14ac:dyDescent="0.25">
      <c r="A35" s="49">
        <f t="shared" si="6"/>
        <v>20</v>
      </c>
      <c r="B35" s="49">
        <f t="shared" si="2"/>
        <v>2034</v>
      </c>
      <c r="C35" s="49">
        <f t="shared" si="0"/>
        <v>2037</v>
      </c>
      <c r="D35" s="54"/>
      <c r="E35" s="63"/>
      <c r="F35" s="56"/>
      <c r="G35" s="64">
        <f t="shared" si="18"/>
        <v>-33153846.88334487</v>
      </c>
      <c r="H35" s="63">
        <f t="shared" si="4"/>
        <v>10</v>
      </c>
      <c r="I35" s="56">
        <f t="shared" si="19"/>
        <v>-4989043.29633532</v>
      </c>
      <c r="J35" s="54">
        <f t="shared" si="8"/>
        <v>12216432.81061675</v>
      </c>
      <c r="K35" s="63">
        <f t="shared" si="9"/>
        <v>11</v>
      </c>
      <c r="L35" s="56">
        <f t="shared" si="10"/>
        <v>2145680.9259545617</v>
      </c>
      <c r="M35" s="54">
        <f t="shared" si="14"/>
        <v>0</v>
      </c>
      <c r="N35" s="63">
        <f t="shared" si="15"/>
        <v>12</v>
      </c>
      <c r="O35" s="56">
        <f t="shared" si="11"/>
        <v>0</v>
      </c>
      <c r="P35" s="54">
        <f t="shared" si="12"/>
        <v>-20937414.07272812</v>
      </c>
      <c r="Q35" s="63">
        <f t="shared" si="13"/>
        <v>11</v>
      </c>
      <c r="R35" s="297">
        <f t="shared" si="5"/>
        <v>-2843362.3703807583</v>
      </c>
      <c r="S35" s="63"/>
      <c r="T35" s="142"/>
      <c r="U35" s="111"/>
      <c r="V35" s="73"/>
      <c r="W35" s="49"/>
      <c r="AF35" s="216">
        <v>500000</v>
      </c>
    </row>
    <row r="36" spans="1:32" s="50" customFormat="1" x14ac:dyDescent="0.25">
      <c r="A36" s="49">
        <f t="shared" si="6"/>
        <v>21</v>
      </c>
      <c r="B36" s="49">
        <f t="shared" si="2"/>
        <v>2035</v>
      </c>
      <c r="C36" s="49">
        <f t="shared" si="0"/>
        <v>2038</v>
      </c>
      <c r="D36" s="54"/>
      <c r="E36" s="63"/>
      <c r="F36" s="56"/>
      <c r="G36" s="64">
        <f t="shared" si="18"/>
        <v>-30467635.213412229</v>
      </c>
      <c r="H36" s="63">
        <f t="shared" si="4"/>
        <v>9</v>
      </c>
      <c r="I36" s="56">
        <f t="shared" si="19"/>
        <v>-5138714.5952253789</v>
      </c>
      <c r="J36" s="54">
        <f t="shared" si="8"/>
        <v>10852073.499242492</v>
      </c>
      <c r="K36" s="63">
        <f t="shared" si="9"/>
        <v>10</v>
      </c>
      <c r="L36" s="56">
        <f t="shared" si="10"/>
        <v>2210051.3537331983</v>
      </c>
      <c r="M36" s="54">
        <f t="shared" si="14"/>
        <v>0</v>
      </c>
      <c r="N36" s="63">
        <f t="shared" si="15"/>
        <v>11</v>
      </c>
      <c r="O36" s="56">
        <f t="shared" si="11"/>
        <v>0</v>
      </c>
      <c r="P36" s="54">
        <f t="shared" si="12"/>
        <v>-19615561.714169737</v>
      </c>
      <c r="Q36" s="63">
        <f t="shared" si="13"/>
        <v>10</v>
      </c>
      <c r="R36" s="297">
        <f t="shared" si="5"/>
        <v>-2928663.2414921806</v>
      </c>
      <c r="S36" s="63"/>
      <c r="T36" s="142"/>
      <c r="U36" s="111"/>
      <c r="V36" s="73"/>
      <c r="W36" s="49"/>
      <c r="AF36" s="216">
        <v>500000</v>
      </c>
    </row>
    <row r="37" spans="1:32" s="50" customFormat="1" x14ac:dyDescent="0.25">
      <c r="A37" s="49">
        <f t="shared" si="6"/>
        <v>22</v>
      </c>
      <c r="B37" s="49">
        <f t="shared" si="2"/>
        <v>2036</v>
      </c>
      <c r="C37" s="49">
        <f t="shared" si="0"/>
        <v>2039</v>
      </c>
      <c r="D37" s="54"/>
      <c r="E37" s="63"/>
      <c r="F37" s="56"/>
      <c r="G37" s="64">
        <f t="shared" si="18"/>
        <v>-27424775.162649132</v>
      </c>
      <c r="H37" s="63">
        <f t="shared" si="4"/>
        <v>8</v>
      </c>
      <c r="I37" s="56">
        <f t="shared" si="19"/>
        <v>-5292876.0330821406</v>
      </c>
      <c r="J37" s="54">
        <f t="shared" si="8"/>
        <v>9325623.7478285134</v>
      </c>
      <c r="K37" s="63">
        <f t="shared" si="9"/>
        <v>9</v>
      </c>
      <c r="L37" s="56">
        <f t="shared" si="10"/>
        <v>2276352.8943451941</v>
      </c>
      <c r="M37" s="54">
        <f t="shared" si="14"/>
        <v>0</v>
      </c>
      <c r="N37" s="63">
        <f t="shared" si="15"/>
        <v>10</v>
      </c>
      <c r="O37" s="56">
        <f t="shared" si="11"/>
        <v>0</v>
      </c>
      <c r="P37" s="54">
        <f t="shared" si="12"/>
        <v>-18099151.414820619</v>
      </c>
      <c r="Q37" s="63">
        <f t="shared" si="13"/>
        <v>9</v>
      </c>
      <c r="R37" s="297">
        <f t="shared" si="5"/>
        <v>-3016523.1387369465</v>
      </c>
      <c r="S37" s="63"/>
      <c r="T37" s="142"/>
      <c r="U37" s="111"/>
      <c r="V37" s="73"/>
      <c r="W37" s="49"/>
      <c r="AF37" s="216">
        <v>500000</v>
      </c>
    </row>
    <row r="38" spans="1:32" s="50" customFormat="1" x14ac:dyDescent="0.25">
      <c r="A38" s="49">
        <f t="shared" si="6"/>
        <v>23</v>
      </c>
      <c r="B38" s="49">
        <f t="shared" si="2"/>
        <v>2037</v>
      </c>
      <c r="C38" s="49">
        <f t="shared" si="0"/>
        <v>2040</v>
      </c>
      <c r="D38" s="54"/>
      <c r="E38" s="63"/>
      <c r="F38" s="56"/>
      <c r="G38" s="64">
        <f t="shared" si="18"/>
        <v>-23993862.627325732</v>
      </c>
      <c r="H38" s="63">
        <f t="shared" si="4"/>
        <v>7</v>
      </c>
      <c r="I38" s="56">
        <f t="shared" si="19"/>
        <v>-5451662.3140746048</v>
      </c>
      <c r="J38" s="54">
        <f t="shared" si="8"/>
        <v>7623739.6669247281</v>
      </c>
      <c r="K38" s="63">
        <f t="shared" si="9"/>
        <v>8</v>
      </c>
      <c r="L38" s="56">
        <f t="shared" si="10"/>
        <v>2344643.4811755503</v>
      </c>
      <c r="M38" s="54">
        <f t="shared" si="14"/>
        <v>0</v>
      </c>
      <c r="N38" s="63">
        <f t="shared" si="15"/>
        <v>9</v>
      </c>
      <c r="O38" s="56">
        <f t="shared" si="11"/>
        <v>0</v>
      </c>
      <c r="P38" s="54">
        <f t="shared" si="12"/>
        <v>-16370122.960401004</v>
      </c>
      <c r="Q38" s="63">
        <f t="shared" si="13"/>
        <v>8</v>
      </c>
      <c r="R38" s="297">
        <f t="shared" si="5"/>
        <v>-3107018.8328990545</v>
      </c>
      <c r="S38" s="63"/>
      <c r="T38" s="142"/>
      <c r="U38" s="111"/>
      <c r="V38" s="73"/>
      <c r="W38" s="49"/>
      <c r="AF38" s="216">
        <v>500000</v>
      </c>
    </row>
    <row r="39" spans="1:32" s="50" customFormat="1" x14ac:dyDescent="0.25">
      <c r="A39" s="49">
        <f t="shared" si="6"/>
        <v>24</v>
      </c>
      <c r="B39" s="49">
        <f t="shared" si="2"/>
        <v>2038</v>
      </c>
      <c r="C39" s="49">
        <f t="shared" si="0"/>
        <v>2041</v>
      </c>
      <c r="D39" s="54"/>
      <c r="E39" s="63"/>
      <c r="F39" s="56"/>
      <c r="G39" s="64">
        <f t="shared" si="18"/>
        <v>-20140998.531677414</v>
      </c>
      <c r="H39" s="63">
        <f t="shared" si="4"/>
        <v>6</v>
      </c>
      <c r="I39" s="56">
        <f t="shared" si="19"/>
        <v>-5615212.1834968422</v>
      </c>
      <c r="J39" s="54">
        <f t="shared" si="8"/>
        <v>5732083.3680601232</v>
      </c>
      <c r="K39" s="63">
        <f t="shared" si="9"/>
        <v>7</v>
      </c>
      <c r="L39" s="56">
        <f t="shared" si="10"/>
        <v>2414982.7856108169</v>
      </c>
      <c r="M39" s="54">
        <f t="shared" si="14"/>
        <v>0</v>
      </c>
      <c r="N39" s="63">
        <f t="shared" si="15"/>
        <v>8</v>
      </c>
      <c r="O39" s="56">
        <f t="shared" si="11"/>
        <v>0</v>
      </c>
      <c r="P39" s="54">
        <f t="shared" si="12"/>
        <v>-14408915.163617291</v>
      </c>
      <c r="Q39" s="63">
        <f t="shared" si="13"/>
        <v>7</v>
      </c>
      <c r="R39" s="297">
        <f t="shared" si="5"/>
        <v>-3200229.3978860253</v>
      </c>
      <c r="S39" s="63"/>
      <c r="T39" s="142"/>
      <c r="U39" s="111"/>
      <c r="V39" s="73"/>
      <c r="W39" s="49"/>
      <c r="AF39" s="216">
        <v>500000</v>
      </c>
    </row>
    <row r="40" spans="1:32" s="50" customFormat="1" x14ac:dyDescent="0.25">
      <c r="A40" s="49">
        <f t="shared" si="6"/>
        <v>25</v>
      </c>
      <c r="B40" s="49">
        <f t="shared" si="2"/>
        <v>2039</v>
      </c>
      <c r="C40" s="49">
        <f t="shared" si="0"/>
        <v>2042</v>
      </c>
      <c r="D40" s="54"/>
      <c r="E40" s="63"/>
      <c r="F40" s="56"/>
      <c r="G40" s="64">
        <f t="shared" si="18"/>
        <v>-15829597.515074544</v>
      </c>
      <c r="H40" s="63">
        <f t="shared" si="4"/>
        <v>5</v>
      </c>
      <c r="I40" s="56">
        <f t="shared" si="19"/>
        <v>-5783668.5490017477</v>
      </c>
      <c r="J40" s="54">
        <f t="shared" si="8"/>
        <v>3635251.5860085161</v>
      </c>
      <c r="K40" s="63">
        <f t="shared" si="9"/>
        <v>6</v>
      </c>
      <c r="L40" s="56">
        <f t="shared" si="10"/>
        <v>2487432.2691791407</v>
      </c>
      <c r="M40" s="54">
        <f t="shared" si="14"/>
        <v>0</v>
      </c>
      <c r="N40" s="63">
        <f t="shared" si="15"/>
        <v>7</v>
      </c>
      <c r="O40" s="56">
        <f t="shared" si="11"/>
        <v>0</v>
      </c>
      <c r="P40" s="54">
        <f t="shared" si="12"/>
        <v>-12194345.929066028</v>
      </c>
      <c r="Q40" s="63">
        <f t="shared" si="13"/>
        <v>6</v>
      </c>
      <c r="R40" s="297">
        <f t="shared" si="5"/>
        <v>-3296236.2798226071</v>
      </c>
      <c r="S40" s="63"/>
      <c r="T40" s="142"/>
      <c r="U40" s="111"/>
      <c r="V40" s="73"/>
      <c r="W40" s="49"/>
      <c r="AF40" s="216">
        <v>500000</v>
      </c>
    </row>
    <row r="41" spans="1:32" s="50" customFormat="1" x14ac:dyDescent="0.25">
      <c r="A41" s="49">
        <f t="shared" si="6"/>
        <v>26</v>
      </c>
      <c r="B41" s="49">
        <f t="shared" si="2"/>
        <v>2040</v>
      </c>
      <c r="C41" s="49">
        <f t="shared" si="0"/>
        <v>2043</v>
      </c>
      <c r="D41" s="54"/>
      <c r="E41" s="63"/>
      <c r="F41" s="56"/>
      <c r="G41" s="64">
        <f t="shared" si="18"/>
        <v>-11020182.145032093</v>
      </c>
      <c r="H41" s="63">
        <f t="shared" si="4"/>
        <v>4</v>
      </c>
      <c r="I41" s="56">
        <f t="shared" si="19"/>
        <v>-4765742.8843774414</v>
      </c>
      <c r="J41" s="54">
        <f t="shared" si="8"/>
        <v>1316699.2506788229</v>
      </c>
      <c r="K41" s="65">
        <f t="shared" si="9"/>
        <v>5</v>
      </c>
      <c r="L41" s="56">
        <f t="shared" si="10"/>
        <v>2562055.2372545148</v>
      </c>
      <c r="M41" s="54">
        <f t="shared" si="14"/>
        <v>0</v>
      </c>
      <c r="N41" s="63">
        <f t="shared" si="15"/>
        <v>6</v>
      </c>
      <c r="O41" s="56">
        <f t="shared" si="11"/>
        <v>0</v>
      </c>
      <c r="P41" s="54">
        <f t="shared" si="12"/>
        <v>-9703482.8943532705</v>
      </c>
      <c r="Q41" s="63">
        <f t="shared" si="13"/>
        <v>5</v>
      </c>
      <c r="R41" s="297">
        <f t="shared" si="5"/>
        <v>-2203687.6471229265</v>
      </c>
      <c r="S41" s="63"/>
      <c r="T41" s="142"/>
      <c r="U41" s="111"/>
      <c r="V41" s="73"/>
      <c r="W41" s="49"/>
      <c r="AF41" s="216">
        <v>500000</v>
      </c>
    </row>
    <row r="42" spans="1:32" s="50" customFormat="1" x14ac:dyDescent="0.25">
      <c r="A42" s="49">
        <f t="shared" si="6"/>
        <v>27</v>
      </c>
      <c r="B42" s="49">
        <f t="shared" si="2"/>
        <v>2041</v>
      </c>
      <c r="C42" s="49">
        <f t="shared" si="0"/>
        <v>2044</v>
      </c>
      <c r="D42" s="54"/>
      <c r="E42" s="63"/>
      <c r="F42" s="56"/>
      <c r="G42" s="64">
        <f t="shared" si="18"/>
        <v>-6905468.4145629145</v>
      </c>
      <c r="H42" s="63">
        <f t="shared" si="4"/>
        <v>3</v>
      </c>
      <c r="I42" s="56">
        <f t="shared" si="19"/>
        <v>-3681536.3781815725</v>
      </c>
      <c r="J42" s="54">
        <f t="shared" si="8"/>
        <v>-1241342.3465144578</v>
      </c>
      <c r="K42" s="63">
        <f t="shared" si="9"/>
        <v>4</v>
      </c>
      <c r="L42" s="56">
        <f t="shared" si="10"/>
        <v>2111133.5154977208</v>
      </c>
      <c r="M42" s="54">
        <f t="shared" si="14"/>
        <v>0</v>
      </c>
      <c r="N42" s="65">
        <f t="shared" si="15"/>
        <v>5</v>
      </c>
      <c r="O42" s="56">
        <f t="shared" si="11"/>
        <v>0</v>
      </c>
      <c r="P42" s="54">
        <f t="shared" si="12"/>
        <v>-8146810.7610773724</v>
      </c>
      <c r="Q42" s="63">
        <f t="shared" si="13"/>
        <v>4</v>
      </c>
      <c r="R42" s="297">
        <f t="shared" si="5"/>
        <v>-1570402.8626838517</v>
      </c>
      <c r="S42" s="63"/>
      <c r="T42" s="142"/>
      <c r="U42" s="111"/>
      <c r="V42" s="73"/>
      <c r="W42" s="49"/>
      <c r="AF42" s="216">
        <v>500000</v>
      </c>
    </row>
    <row r="43" spans="1:32" s="50" customFormat="1" x14ac:dyDescent="0.25">
      <c r="A43" s="49">
        <f t="shared" si="6"/>
        <v>28</v>
      </c>
      <c r="B43" s="49">
        <f t="shared" si="2"/>
        <v>2042</v>
      </c>
      <c r="C43" s="49">
        <f t="shared" si="0"/>
        <v>2045</v>
      </c>
      <c r="D43" s="54"/>
      <c r="E43" s="63"/>
      <c r="F43" s="56"/>
      <c r="G43" s="64">
        <f t="shared" si="18"/>
        <v>-3606280.3858398972</v>
      </c>
      <c r="H43" s="63">
        <f t="shared" si="4"/>
        <v>2</v>
      </c>
      <c r="I43" s="56">
        <f t="shared" si="19"/>
        <v>-2527988.3130180133</v>
      </c>
      <c r="J43" s="54">
        <f t="shared" si="8"/>
        <v>-3512009.7996368883</v>
      </c>
      <c r="K43" s="63">
        <f t="shared" si="9"/>
        <v>3</v>
      </c>
      <c r="L43" s="56">
        <f t="shared" si="10"/>
        <v>1630850.6407219891</v>
      </c>
      <c r="M43" s="54">
        <f t="shared" si="14"/>
        <v>0</v>
      </c>
      <c r="N43" s="63">
        <f t="shared" si="15"/>
        <v>4</v>
      </c>
      <c r="O43" s="56">
        <f t="shared" si="11"/>
        <v>0</v>
      </c>
      <c r="P43" s="54">
        <f t="shared" si="12"/>
        <v>-7118290.1854767855</v>
      </c>
      <c r="Q43" s="63">
        <f t="shared" si="13"/>
        <v>3</v>
      </c>
      <c r="R43" s="297">
        <f t="shared" si="5"/>
        <v>-897137.67229602416</v>
      </c>
      <c r="S43" s="63"/>
      <c r="T43" s="142"/>
      <c r="U43" s="111"/>
      <c r="V43" s="73"/>
      <c r="W43" s="49"/>
      <c r="AF43" s="216">
        <v>500000</v>
      </c>
    </row>
    <row r="44" spans="1:32" x14ac:dyDescent="0.25">
      <c r="A44" s="49">
        <f t="shared" si="6"/>
        <v>29</v>
      </c>
      <c r="B44" s="49">
        <f t="shared" si="2"/>
        <v>2043</v>
      </c>
      <c r="C44" s="49">
        <f t="shared" si="0"/>
        <v>2046</v>
      </c>
      <c r="D44" s="54"/>
      <c r="E44" s="63"/>
      <c r="F44" s="56"/>
      <c r="G44" s="64">
        <f t="shared" si="18"/>
        <v>-1255677.3450380941</v>
      </c>
      <c r="H44" s="63">
        <f t="shared" si="4"/>
        <v>1</v>
      </c>
      <c r="I44" s="56">
        <f t="shared" si="19"/>
        <v>-1301913.9812042769</v>
      </c>
      <c r="J44" s="54">
        <f t="shared" si="8"/>
        <v>-5444815.5057607787</v>
      </c>
      <c r="K44" s="63">
        <f t="shared" si="9"/>
        <v>2</v>
      </c>
      <c r="L44" s="56">
        <f t="shared" si="10"/>
        <v>1119850.7732957657</v>
      </c>
      <c r="M44" s="54">
        <f t="shared" si="14"/>
        <v>0</v>
      </c>
      <c r="N44" s="63">
        <f t="shared" si="15"/>
        <v>3</v>
      </c>
      <c r="O44" s="56">
        <f t="shared" si="11"/>
        <v>0</v>
      </c>
      <c r="P44" s="54">
        <f t="shared" si="12"/>
        <v>-6700492.8507988732</v>
      </c>
      <c r="Q44" s="63">
        <f t="shared" si="13"/>
        <v>2</v>
      </c>
      <c r="R44" s="297">
        <f t="shared" si="5"/>
        <v>-182063.20790851116</v>
      </c>
      <c r="S44" s="63"/>
      <c r="T44" s="142"/>
      <c r="U44" s="111"/>
      <c r="AF44" s="216">
        <v>500000</v>
      </c>
    </row>
    <row r="45" spans="1:32" x14ac:dyDescent="0.25">
      <c r="A45" s="49">
        <f t="shared" si="6"/>
        <v>30</v>
      </c>
      <c r="B45" s="49">
        <f t="shared" si="2"/>
        <v>2044</v>
      </c>
      <c r="C45" s="49">
        <f t="shared" si="0"/>
        <v>2047</v>
      </c>
      <c r="D45" s="54"/>
      <c r="E45" s="63"/>
      <c r="F45" s="56"/>
      <c r="G45" s="64"/>
      <c r="H45" s="63"/>
      <c r="I45" s="56"/>
      <c r="J45" s="54">
        <f t="shared" si="8"/>
        <v>-6984335.2383332253</v>
      </c>
      <c r="K45" s="63">
        <f t="shared" si="9"/>
        <v>1</v>
      </c>
      <c r="L45" s="56">
        <f t="shared" si="10"/>
        <v>576723.14824731939</v>
      </c>
      <c r="M45" s="54">
        <f t="shared" si="14"/>
        <v>0</v>
      </c>
      <c r="N45" s="63">
        <f t="shared" si="15"/>
        <v>2</v>
      </c>
      <c r="O45" s="56">
        <f t="shared" si="11"/>
        <v>0</v>
      </c>
      <c r="P45" s="54">
        <f t="shared" si="12"/>
        <v>-6984335.2383332253</v>
      </c>
      <c r="Q45" s="63">
        <f t="shared" si="13"/>
        <v>1</v>
      </c>
      <c r="R45" s="297">
        <f t="shared" si="5"/>
        <v>576723.14824731939</v>
      </c>
      <c r="S45" s="63"/>
      <c r="T45" s="142"/>
      <c r="U45" s="111"/>
      <c r="AF45" s="216">
        <v>500000</v>
      </c>
    </row>
    <row r="46" spans="1:32" ht="15.75" thickBot="1" x14ac:dyDescent="0.3">
      <c r="C46" s="56"/>
      <c r="D46" s="57"/>
      <c r="E46" s="68"/>
      <c r="F46" s="59"/>
      <c r="G46" s="57"/>
      <c r="H46" s="68"/>
      <c r="I46" s="59"/>
      <c r="J46" s="57"/>
      <c r="K46" s="68"/>
      <c r="L46" s="59"/>
      <c r="M46" s="57">
        <f t="shared" si="14"/>
        <v>0</v>
      </c>
      <c r="N46" s="68">
        <f t="shared" si="15"/>
        <v>1</v>
      </c>
      <c r="O46" s="59">
        <f t="shared" si="11"/>
        <v>0</v>
      </c>
      <c r="P46" s="66"/>
      <c r="Q46" s="67"/>
      <c r="R46" s="298"/>
      <c r="S46" s="146"/>
      <c r="T46" s="147"/>
      <c r="U46" s="52"/>
    </row>
    <row r="47" spans="1:32" x14ac:dyDescent="0.25">
      <c r="C47" s="47"/>
      <c r="P47" s="49" t="s">
        <v>81</v>
      </c>
      <c r="R47" s="47">
        <f>SUM(R16:R46)</f>
        <v>286846207.73740411</v>
      </c>
      <c r="S47" s="47"/>
    </row>
    <row r="48" spans="1:32" x14ac:dyDescent="0.25">
      <c r="B48" s="215">
        <v>0</v>
      </c>
      <c r="C48" s="52"/>
      <c r="D48" s="56"/>
      <c r="E48" s="49" t="s">
        <v>152</v>
      </c>
      <c r="P48" s="49" t="s">
        <v>86</v>
      </c>
      <c r="R48" s="48">
        <f>NPV(0.03,R16:R45)</f>
        <v>224780963.79370263</v>
      </c>
      <c r="S48" s="48"/>
      <c r="T48" s="48"/>
      <c r="U48" s="48"/>
    </row>
    <row r="49" spans="2:19" x14ac:dyDescent="0.25">
      <c r="B49" s="215">
        <v>-1</v>
      </c>
      <c r="C49" s="52"/>
      <c r="D49" s="274"/>
      <c r="E49" s="49" t="s">
        <v>153</v>
      </c>
      <c r="S49" s="49"/>
    </row>
    <row r="50" spans="2:19" x14ac:dyDescent="0.25">
      <c r="B50" s="215">
        <v>1</v>
      </c>
      <c r="C50" s="52"/>
      <c r="D50" s="56"/>
      <c r="E50" s="49" t="s">
        <v>154</v>
      </c>
      <c r="S50" s="49"/>
    </row>
    <row r="51" spans="2:19" x14ac:dyDescent="0.25">
      <c r="S51" s="49"/>
    </row>
    <row r="52" spans="2:19" x14ac:dyDescent="0.25">
      <c r="S52" s="49"/>
    </row>
    <row r="53" spans="2:19" x14ac:dyDescent="0.25">
      <c r="S53" s="47"/>
    </row>
  </sheetData>
  <mergeCells count="8">
    <mergeCell ref="W5:AB5"/>
    <mergeCell ref="D10:R10"/>
    <mergeCell ref="P11:R11"/>
    <mergeCell ref="D12:F12"/>
    <mergeCell ref="G12:I12"/>
    <mergeCell ref="J12:L12"/>
    <mergeCell ref="M12:O12"/>
    <mergeCell ref="P12:R12"/>
  </mergeCells>
  <conditionalFormatting sqref="T14:U45">
    <cfRule type="iconSet" priority="28">
      <iconSet>
        <cfvo type="percent" val="0"/>
        <cfvo type="num" val="0.7"/>
        <cfvo type="num" val="0.8"/>
      </iconSet>
    </cfRule>
  </conditionalFormatting>
  <conditionalFormatting sqref="D48">
    <cfRule type="cellIs" dxfId="212" priority="19" operator="greaterThanOrEqual">
      <formula>B48</formula>
    </cfRule>
    <cfRule type="cellIs" dxfId="211" priority="20" operator="greaterThan">
      <formula>B49</formula>
    </cfRule>
    <cfRule type="cellIs" dxfId="210" priority="21" operator="lessThanOrEqual">
      <formula>51</formula>
    </cfRule>
  </conditionalFormatting>
  <conditionalFormatting sqref="G16:G45">
    <cfRule type="cellIs" dxfId="209" priority="29" operator="greaterThanOrEqual">
      <formula>G15</formula>
    </cfRule>
    <cfRule type="cellIs" dxfId="208" priority="30" operator="greaterThan">
      <formula>G$15</formula>
    </cfRule>
    <cfRule type="cellIs" dxfId="207" priority="31" operator="lessThanOrEqual">
      <formula>G$15</formula>
    </cfRule>
  </conditionalFormatting>
  <conditionalFormatting sqref="P17:P45">
    <cfRule type="cellIs" dxfId="206" priority="10" operator="greaterThanOrEqual">
      <formula>P16</formula>
    </cfRule>
    <cfRule type="cellIs" dxfId="205" priority="11" operator="greaterThan">
      <formula>P$16</formula>
    </cfRule>
    <cfRule type="cellIs" dxfId="204" priority="12" operator="lessThanOrEqual">
      <formula>P$16</formula>
    </cfRule>
  </conditionalFormatting>
  <conditionalFormatting sqref="D50">
    <cfRule type="cellIs" dxfId="203" priority="32" operator="greaterThanOrEqual">
      <formula>B50</formula>
    </cfRule>
    <cfRule type="cellIs" dxfId="202" priority="33" operator="greaterThan">
      <formula>D48</formula>
    </cfRule>
    <cfRule type="cellIs" dxfId="201" priority="34" operator="lessThanOrEqual">
      <formula>51</formula>
    </cfRule>
  </conditionalFormatting>
  <conditionalFormatting sqref="M18:M46">
    <cfRule type="cellIs" dxfId="200" priority="35" operator="greaterThanOrEqual">
      <formula>M17</formula>
    </cfRule>
    <cfRule type="cellIs" dxfId="199" priority="36" operator="greaterThan">
      <formula>M$17</formula>
    </cfRule>
    <cfRule type="cellIs" dxfId="198" priority="37" operator="lessThanOrEqual">
      <formula>M$17</formula>
    </cfRule>
  </conditionalFormatting>
  <conditionalFormatting sqref="D17">
    <cfRule type="cellIs" dxfId="197" priority="7" operator="greaterThanOrEqual">
      <formula>D16</formula>
    </cfRule>
    <cfRule type="cellIs" dxfId="196" priority="8" operator="greaterThan">
      <formula>D$16</formula>
    </cfRule>
    <cfRule type="cellIs" dxfId="195" priority="9" operator="lessThanOrEqual">
      <formula>D$16</formula>
    </cfRule>
  </conditionalFormatting>
  <conditionalFormatting sqref="D18:D32">
    <cfRule type="cellIs" dxfId="194" priority="4" operator="greaterThanOrEqual">
      <formula>D17</formula>
    </cfRule>
    <cfRule type="cellIs" dxfId="193" priority="5" operator="greaterThan">
      <formula>D$16</formula>
    </cfRule>
    <cfRule type="cellIs" dxfId="192" priority="6" operator="lessThanOrEqual">
      <formula>D$16</formula>
    </cfRule>
  </conditionalFormatting>
  <conditionalFormatting sqref="J17:J45">
    <cfRule type="cellIs" dxfId="191" priority="1" operator="greaterThanOrEqual">
      <formula>J16</formula>
    </cfRule>
    <cfRule type="cellIs" dxfId="190" priority="2" operator="greaterThan">
      <formula>J$16</formula>
    </cfRule>
    <cfRule type="cellIs" dxfId="189" priority="3" operator="lessThanOrEqual">
      <formula>J$16</formula>
    </cfRule>
  </conditionalFormatting>
  <pageMargins left="0.25" right="0.25" top="0.25" bottom="0.25" header="0.3" footer="0.3"/>
  <pageSetup scale="70" orientation="landscape" r:id="rId1"/>
  <headerFooter differentFirst="1">
    <oddFooter>&amp;R&amp;P</oddFooter>
  </headerFooter>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O53"/>
  <sheetViews>
    <sheetView showGridLines="0" topLeftCell="A40" zoomScaleNormal="100" workbookViewId="0">
      <selection activeCell="I8" sqref="I8"/>
    </sheetView>
  </sheetViews>
  <sheetFormatPr defaultColWidth="9.140625" defaultRowHeight="15" x14ac:dyDescent="0.25"/>
  <cols>
    <col min="1" max="1" width="3.5703125" style="49" customWidth="1"/>
    <col min="2" max="3" width="5" style="49" bestFit="1" customWidth="1"/>
    <col min="4" max="4" width="14.7109375" style="49" customWidth="1"/>
    <col min="5" max="5" width="6.28515625" style="49" customWidth="1"/>
    <col min="6" max="6" width="12.28515625" style="49" customWidth="1"/>
    <col min="7" max="7" width="13" style="49" bestFit="1" customWidth="1"/>
    <col min="8" max="8" width="9.5703125" style="49" bestFit="1" customWidth="1"/>
    <col min="9" max="9" width="11.85546875" style="49" bestFit="1" customWidth="1"/>
    <col min="10" max="10" width="14.85546875" style="49" customWidth="1"/>
    <col min="11" max="12" width="11.85546875" style="49" customWidth="1"/>
    <col min="13" max="13" width="12.85546875" style="49" bestFit="1" customWidth="1"/>
    <col min="14" max="14" width="9.28515625" style="49" customWidth="1"/>
    <col min="15" max="15" width="11.28515625" style="49" customWidth="1"/>
    <col min="16" max="16" width="12.5703125" style="49" bestFit="1" customWidth="1"/>
    <col min="17" max="18" width="11.28515625" style="49" customWidth="1"/>
    <col min="19" max="19" width="12.5703125" style="49" bestFit="1" customWidth="1"/>
    <col min="20" max="21" width="11.28515625" style="49" customWidth="1"/>
    <col min="22" max="22" width="12.5703125" style="49" bestFit="1" customWidth="1"/>
    <col min="23" max="24" width="11.28515625" style="49" customWidth="1"/>
    <col min="25" max="25" width="15.140625" style="49" bestFit="1" customWidth="1"/>
    <col min="26" max="26" width="7" style="49" customWidth="1"/>
    <col min="27" max="27" width="15.5703125" style="49" bestFit="1" customWidth="1"/>
    <col min="28" max="28" width="14" style="50" hidden="1" customWidth="1"/>
    <col min="29" max="29" width="15.28515625" style="49" hidden="1" customWidth="1"/>
    <col min="30" max="30" width="4" style="49" customWidth="1"/>
    <col min="31" max="31" width="14.28515625" style="73" bestFit="1" customWidth="1"/>
    <col min="32" max="32" width="11.5703125" style="49" bestFit="1" customWidth="1"/>
    <col min="33" max="37" width="9.140625" style="49"/>
    <col min="38" max="38" width="4.85546875" style="49" customWidth="1"/>
    <col min="39" max="40" width="9.140625" style="49"/>
    <col min="41" max="41" width="12.5703125" style="215" bestFit="1" customWidth="1"/>
    <col min="42" max="16384" width="9.140625" style="49"/>
  </cols>
  <sheetData>
    <row r="1" spans="1:41" ht="11.25" customHeight="1" thickBot="1" x14ac:dyDescent="0.3"/>
    <row r="2" spans="1:41" ht="27.75" thickTop="1" thickBot="1" x14ac:dyDescent="0.45">
      <c r="D2" s="214" t="s">
        <v>216</v>
      </c>
      <c r="G2" s="246" t="s">
        <v>141</v>
      </c>
      <c r="H2" s="244">
        <v>7.0000000000000007E-2</v>
      </c>
      <c r="J2" s="246" t="s">
        <v>141</v>
      </c>
      <c r="K2" s="244">
        <v>7.0000000000000007E-2</v>
      </c>
      <c r="M2" s="246" t="s">
        <v>141</v>
      </c>
      <c r="N2" s="244">
        <v>7.0000000000000007E-2</v>
      </c>
      <c r="P2" s="246" t="s">
        <v>141</v>
      </c>
      <c r="Q2" s="406">
        <v>7.0000000000000007E-2</v>
      </c>
      <c r="S2" s="246" t="s">
        <v>141</v>
      </c>
      <c r="T2" s="406">
        <v>7.0000000000000007E-2</v>
      </c>
      <c r="V2" s="246" t="s">
        <v>141</v>
      </c>
      <c r="W2" s="406">
        <v>7.0000000000000007E-2</v>
      </c>
    </row>
    <row r="3" spans="1:41" ht="27.75" thickTop="1" thickBot="1" x14ac:dyDescent="0.45">
      <c r="D3" s="214" t="s">
        <v>253</v>
      </c>
      <c r="G3" s="247" t="s">
        <v>142</v>
      </c>
      <c r="H3" s="244">
        <v>0.03</v>
      </c>
      <c r="J3" s="247" t="s">
        <v>142</v>
      </c>
      <c r="K3" s="244">
        <v>0.03</v>
      </c>
      <c r="M3" s="247" t="s">
        <v>142</v>
      </c>
      <c r="N3" s="244">
        <v>0.03</v>
      </c>
      <c r="P3" s="247" t="s">
        <v>142</v>
      </c>
      <c r="Q3" s="244">
        <v>0.03</v>
      </c>
      <c r="S3" s="247" t="s">
        <v>142</v>
      </c>
      <c r="T3" s="244">
        <v>0.03</v>
      </c>
      <c r="V3" s="247" t="s">
        <v>142</v>
      </c>
      <c r="W3" s="244">
        <v>0.03</v>
      </c>
    </row>
    <row r="4" spans="1:41" ht="27" thickTop="1" x14ac:dyDescent="0.4">
      <c r="D4" s="214" t="s">
        <v>254</v>
      </c>
      <c r="G4" s="248"/>
      <c r="H4" s="250"/>
      <c r="J4" s="248"/>
      <c r="K4" s="250"/>
      <c r="M4" s="248"/>
      <c r="N4" s="250"/>
      <c r="P4" s="248"/>
      <c r="Q4" s="250"/>
      <c r="S4" s="248"/>
      <c r="T4" s="250"/>
      <c r="V4" s="248"/>
      <c r="W4" s="250"/>
    </row>
    <row r="5" spans="1:41" x14ac:dyDescent="0.25">
      <c r="G5" s="248" t="s">
        <v>143</v>
      </c>
      <c r="H5" s="250">
        <v>5</v>
      </c>
      <c r="J5" s="248" t="s">
        <v>143</v>
      </c>
      <c r="K5" s="250">
        <v>5</v>
      </c>
      <c r="M5" s="248" t="s">
        <v>143</v>
      </c>
      <c r="N5" s="250">
        <v>5</v>
      </c>
      <c r="P5" s="248" t="s">
        <v>143</v>
      </c>
      <c r="Q5" s="250">
        <v>5</v>
      </c>
      <c r="S5" s="248" t="s">
        <v>143</v>
      </c>
      <c r="T5" s="250">
        <v>5</v>
      </c>
      <c r="V5" s="248" t="s">
        <v>143</v>
      </c>
      <c r="W5" s="250">
        <v>5</v>
      </c>
      <c r="AF5" s="540"/>
      <c r="AG5" s="540"/>
      <c r="AH5" s="540"/>
      <c r="AI5" s="540"/>
      <c r="AJ5" s="540"/>
      <c r="AK5" s="540"/>
    </row>
    <row r="6" spans="1:41" x14ac:dyDescent="0.25">
      <c r="G6" s="248" t="s">
        <v>144</v>
      </c>
      <c r="H6" s="251">
        <f>H15+1-H5</f>
        <v>26</v>
      </c>
      <c r="J6" s="248" t="s">
        <v>144</v>
      </c>
      <c r="K6" s="251">
        <f>K16+1-K5</f>
        <v>26</v>
      </c>
      <c r="M6" s="248" t="s">
        <v>144</v>
      </c>
      <c r="N6" s="251">
        <f>N17+1-N5</f>
        <v>26</v>
      </c>
      <c r="P6" s="248" t="s">
        <v>144</v>
      </c>
      <c r="Q6" s="251">
        <f>Q17+1-Q5</f>
        <v>16</v>
      </c>
      <c r="S6" s="248" t="s">
        <v>144</v>
      </c>
      <c r="T6" s="251">
        <f>T18+1-T5</f>
        <v>16</v>
      </c>
      <c r="V6" s="248" t="s">
        <v>144</v>
      </c>
      <c r="W6" s="251">
        <f>W19+1-W5</f>
        <v>16</v>
      </c>
    </row>
    <row r="7" spans="1:41" x14ac:dyDescent="0.25">
      <c r="G7" s="248" t="s">
        <v>145</v>
      </c>
      <c r="H7" s="252">
        <f>1/(-PMT((1+H2)/(1+H3)-1,H5,1,0,1))</f>
        <v>4.6398839816425737</v>
      </c>
      <c r="J7" s="248" t="s">
        <v>145</v>
      </c>
      <c r="K7" s="252">
        <f>1/(-PMT((1+K2)/(1+K3)-1,K5,1,0,1))</f>
        <v>4.6398839816425737</v>
      </c>
      <c r="M7" s="248" t="s">
        <v>145</v>
      </c>
      <c r="N7" s="252">
        <f>1/(-PMT((1+N2)/(1+N3)-1,N5,1,0,1))</f>
        <v>4.6398839816425737</v>
      </c>
      <c r="P7" s="248" t="s">
        <v>145</v>
      </c>
      <c r="Q7" s="252">
        <f>1/(-PMT((1+Q2)/(1+Q3)-1,Q5,1,0,1))</f>
        <v>4.6398839816425737</v>
      </c>
      <c r="S7" s="248" t="s">
        <v>145</v>
      </c>
      <c r="T7" s="252">
        <f>1/(-PMT((1+T2)/(1+T3)-1,T5,1,0,1))</f>
        <v>4.6398839816425737</v>
      </c>
      <c r="V7" s="248" t="s">
        <v>145</v>
      </c>
      <c r="W7" s="252">
        <f>1/(-PMT((1+W2)/(1+W3)-1,W5,1,0,1))</f>
        <v>4.6398839816425737</v>
      </c>
    </row>
    <row r="8" spans="1:41" x14ac:dyDescent="0.25">
      <c r="G8" s="249" t="s">
        <v>146</v>
      </c>
      <c r="H8" s="253">
        <f>1/(-PMT((1+H2)/(1+H3)-1,H6,1,0,1)*(1+H2)^0.5)</f>
        <v>16.256878440621026</v>
      </c>
      <c r="J8" s="249" t="s">
        <v>146</v>
      </c>
      <c r="K8" s="253">
        <f>1/(-PMT((1+K2)/(1+K3)-1,K6,1,0,1)*(1+K2)^0.5)</f>
        <v>16.256878440621026</v>
      </c>
      <c r="M8" s="249" t="s">
        <v>146</v>
      </c>
      <c r="N8" s="253">
        <f>1/(-PMT((1+N2)/(1+N3)-1,N6,1,0,1)*(1+N2)^0.5)</f>
        <v>16.256878440621026</v>
      </c>
      <c r="P8" s="249" t="s">
        <v>146</v>
      </c>
      <c r="Q8" s="253">
        <f>1/(-PMT((1+Q2)/(1+Q3)-1,Q6,1,0,1)*(1+Q2)^0.5)</f>
        <v>11.803382176585611</v>
      </c>
      <c r="S8" s="249" t="s">
        <v>146</v>
      </c>
      <c r="T8" s="253">
        <f>1/(-PMT((1+T2)/(1+T3)-1,T6,1,0,1)*(1+T2)^0.5)</f>
        <v>11.803382176585611</v>
      </c>
      <c r="V8" s="249" t="s">
        <v>146</v>
      </c>
      <c r="W8" s="253">
        <f>1/(-PMT((1+W2)/(1+W3)-1,W6,1,0,1)*(1+W2)^0.5)</f>
        <v>11.803382176585611</v>
      </c>
    </row>
    <row r="9" spans="1:41" ht="15.75" thickBot="1" x14ac:dyDescent="0.3"/>
    <row r="10" spans="1:41" x14ac:dyDescent="0.25">
      <c r="C10" s="309"/>
      <c r="D10" s="408" t="s">
        <v>159</v>
      </c>
      <c r="E10" s="409"/>
      <c r="F10" s="409"/>
      <c r="G10" s="409"/>
      <c r="H10" s="409"/>
      <c r="I10" s="409"/>
      <c r="J10" s="409"/>
      <c r="K10" s="409"/>
      <c r="L10" s="409"/>
      <c r="M10" s="409"/>
      <c r="N10" s="409"/>
      <c r="O10" s="409"/>
      <c r="P10" s="409"/>
      <c r="Q10" s="409"/>
      <c r="R10" s="409"/>
      <c r="S10" s="409"/>
      <c r="T10" s="409"/>
      <c r="U10" s="409"/>
      <c r="V10" s="409"/>
      <c r="W10" s="409"/>
      <c r="X10" s="409"/>
      <c r="Y10" s="409"/>
      <c r="Z10" s="409"/>
      <c r="AA10" s="410"/>
      <c r="AB10" s="280"/>
      <c r="AC10" s="281"/>
      <c r="AD10" s="219"/>
    </row>
    <row r="11" spans="1:41" x14ac:dyDescent="0.25">
      <c r="C11" s="310" t="s">
        <v>166</v>
      </c>
      <c r="D11" s="288"/>
      <c r="E11" s="289" t="s">
        <v>155</v>
      </c>
      <c r="F11" s="290"/>
      <c r="G11" s="30"/>
      <c r="H11" s="254" t="s">
        <v>156</v>
      </c>
      <c r="I11" s="254"/>
      <c r="J11" s="30"/>
      <c r="K11" s="254" t="s">
        <v>157</v>
      </c>
      <c r="L11" s="254"/>
      <c r="M11" s="304"/>
      <c r="N11" s="305" t="s">
        <v>158</v>
      </c>
      <c r="O11" s="305"/>
      <c r="P11" s="304"/>
      <c r="Q11" s="308" t="s">
        <v>213</v>
      </c>
      <c r="R11" s="305"/>
      <c r="S11" s="407"/>
      <c r="T11" s="308" t="s">
        <v>214</v>
      </c>
      <c r="U11" s="308"/>
      <c r="V11" s="407"/>
      <c r="W11" s="308" t="s">
        <v>215</v>
      </c>
      <c r="X11" s="308"/>
      <c r="Y11" s="576" t="s">
        <v>114</v>
      </c>
      <c r="Z11" s="577"/>
      <c r="AA11" s="578"/>
      <c r="AB11" s="311"/>
      <c r="AC11" s="313"/>
      <c r="AD11" s="217"/>
    </row>
    <row r="12" spans="1:41" x14ac:dyDescent="0.25">
      <c r="B12" s="49" t="s">
        <v>161</v>
      </c>
      <c r="C12" s="88" t="s">
        <v>165</v>
      </c>
      <c r="D12" s="593" t="s">
        <v>147</v>
      </c>
      <c r="E12" s="594"/>
      <c r="F12" s="594"/>
      <c r="G12" s="595" t="s">
        <v>163</v>
      </c>
      <c r="H12" s="596"/>
      <c r="I12" s="597"/>
      <c r="J12" s="595" t="s">
        <v>148</v>
      </c>
      <c r="K12" s="596"/>
      <c r="L12" s="597"/>
      <c r="M12" s="595" t="s">
        <v>148</v>
      </c>
      <c r="N12" s="596"/>
      <c r="O12" s="597"/>
      <c r="P12" s="595" t="s">
        <v>148</v>
      </c>
      <c r="Q12" s="596"/>
      <c r="R12" s="597"/>
      <c r="S12" s="595" t="s">
        <v>148</v>
      </c>
      <c r="T12" s="596"/>
      <c r="U12" s="597"/>
      <c r="V12" s="595" t="s">
        <v>148</v>
      </c>
      <c r="W12" s="596"/>
      <c r="X12" s="597"/>
      <c r="Y12" s="565" t="s">
        <v>53</v>
      </c>
      <c r="Z12" s="566"/>
      <c r="AA12" s="567"/>
      <c r="AB12" s="312"/>
      <c r="AC12" s="314"/>
      <c r="AD12" s="218"/>
    </row>
    <row r="13" spans="1:41" x14ac:dyDescent="0.25">
      <c r="B13" s="49" t="s">
        <v>162</v>
      </c>
      <c r="C13" s="310" t="s">
        <v>162</v>
      </c>
      <c r="D13" s="74" t="s">
        <v>49</v>
      </c>
      <c r="E13" s="75" t="s">
        <v>50</v>
      </c>
      <c r="F13" s="76" t="s">
        <v>51</v>
      </c>
      <c r="G13" s="77" t="s">
        <v>49</v>
      </c>
      <c r="H13" s="78" t="s">
        <v>50</v>
      </c>
      <c r="I13" s="78" t="s">
        <v>51</v>
      </c>
      <c r="J13" s="77" t="s">
        <v>49</v>
      </c>
      <c r="K13" s="78" t="s">
        <v>50</v>
      </c>
      <c r="L13" s="78" t="s">
        <v>51</v>
      </c>
      <c r="M13" s="74" t="s">
        <v>49</v>
      </c>
      <c r="N13" s="75" t="s">
        <v>50</v>
      </c>
      <c r="O13" s="75" t="s">
        <v>51</v>
      </c>
      <c r="P13" s="74" t="s">
        <v>49</v>
      </c>
      <c r="Q13" s="75" t="s">
        <v>50</v>
      </c>
      <c r="R13" s="75" t="s">
        <v>51</v>
      </c>
      <c r="S13" s="74" t="s">
        <v>49</v>
      </c>
      <c r="T13" s="75" t="s">
        <v>50</v>
      </c>
      <c r="U13" s="75" t="s">
        <v>51</v>
      </c>
      <c r="V13" s="74" t="s">
        <v>49</v>
      </c>
      <c r="W13" s="75" t="s">
        <v>50</v>
      </c>
      <c r="X13" s="75" t="s">
        <v>51</v>
      </c>
      <c r="Y13" s="122" t="s">
        <v>49</v>
      </c>
      <c r="Z13" s="123" t="s">
        <v>52</v>
      </c>
      <c r="AA13" s="294" t="s">
        <v>51</v>
      </c>
      <c r="AB13" s="118"/>
      <c r="AC13" s="140"/>
      <c r="AD13" s="88"/>
    </row>
    <row r="14" spans="1:41" ht="15.75" thickBot="1" x14ac:dyDescent="0.3">
      <c r="B14" s="49">
        <v>2013</v>
      </c>
      <c r="C14" s="49">
        <f>B14+3</f>
        <v>2016</v>
      </c>
      <c r="D14" s="87"/>
      <c r="E14" s="88"/>
      <c r="F14" s="88"/>
      <c r="G14" s="69"/>
      <c r="H14" s="70"/>
      <c r="I14" s="70"/>
      <c r="J14" s="306">
        <v>14550267</v>
      </c>
      <c r="K14" s="70"/>
      <c r="L14" s="70"/>
      <c r="N14" s="125"/>
      <c r="O14" s="295"/>
      <c r="Q14" s="125"/>
      <c r="R14" s="295"/>
      <c r="S14" s="88"/>
      <c r="T14" s="115"/>
      <c r="U14" s="116"/>
      <c r="V14" s="88"/>
      <c r="W14" s="88"/>
      <c r="X14" s="88"/>
      <c r="Y14" s="124"/>
      <c r="Z14" s="125"/>
      <c r="AA14" s="295"/>
      <c r="AB14" s="71"/>
      <c r="AC14" s="141"/>
      <c r="AD14" s="111"/>
    </row>
    <row r="15" spans="1:41" ht="16.5" thickTop="1" thickBot="1" x14ac:dyDescent="0.3">
      <c r="B15" s="49">
        <f>B14+1</f>
        <v>2014</v>
      </c>
      <c r="C15" s="49">
        <f t="shared" ref="C15:C45" si="0">B15+3</f>
        <v>2017</v>
      </c>
      <c r="D15" s="87"/>
      <c r="E15" s="75"/>
      <c r="F15" s="75"/>
      <c r="G15" s="291">
        <v>-39279139</v>
      </c>
      <c r="H15" s="292">
        <v>30</v>
      </c>
      <c r="I15" s="58">
        <f>IF(H15&gt;0,-PMT((1+H2)/(1+H3)-1,H6,G15,0,1)*((1+H2)^0.5)/H7,0)</f>
        <v>-520736.09235817747</v>
      </c>
      <c r="J15" s="307">
        <v>15919122</v>
      </c>
      <c r="K15" s="78"/>
      <c r="L15" s="78"/>
      <c r="M15" s="315">
        <f>317483254*0.069</f>
        <v>21906344.526000001</v>
      </c>
      <c r="N15" s="78"/>
      <c r="O15" s="296"/>
      <c r="P15" s="421">
        <v>6932239</v>
      </c>
      <c r="Q15" s="78"/>
      <c r="R15" s="296"/>
      <c r="T15" s="70"/>
      <c r="U15" s="328"/>
      <c r="V15" s="88"/>
      <c r="W15" s="88"/>
      <c r="X15" s="89"/>
      <c r="Y15" s="92"/>
      <c r="Z15" s="255"/>
      <c r="AA15" s="328"/>
      <c r="AB15" s="68"/>
      <c r="AC15" s="142"/>
      <c r="AD15" s="111"/>
    </row>
    <row r="16" spans="1:41" ht="16.5" thickTop="1" thickBot="1" x14ac:dyDescent="0.3">
      <c r="A16" s="49">
        <v>1</v>
      </c>
      <c r="B16" s="49">
        <f>B15+1</f>
        <v>2015</v>
      </c>
      <c r="C16" s="49">
        <f t="shared" si="0"/>
        <v>2018</v>
      </c>
      <c r="D16" s="293">
        <v>197276421</v>
      </c>
      <c r="E16" s="245">
        <v>17</v>
      </c>
      <c r="F16" s="56">
        <f>-PMT(1.075/1.03-1,E16,D16*1.075^0.5,0,1)</f>
        <v>16573433.159497097</v>
      </c>
      <c r="G16" s="54">
        <f>G15*1.07-I15*1.07^0.5</f>
        <v>-41490025.1276391</v>
      </c>
      <c r="H16" s="63">
        <f>H15-1</f>
        <v>29</v>
      </c>
      <c r="I16" s="56">
        <f t="shared" ref="I16:I32" si="1">I$15*MIN(H$5,H$15+1-H16)*(1+H$3)^(H$15-H16)*IF(H16&lt;H$5,H16/H$5,1)</f>
        <v>-1072716.3502578456</v>
      </c>
      <c r="J16" s="302">
        <v>17399912</v>
      </c>
      <c r="K16" s="245">
        <v>30</v>
      </c>
      <c r="L16" s="56">
        <f>IF(K16&gt;0,-PMT((1+K2)/(1+K3)-1,K6,J16,0,1)*((1+K2)^0.5)/K7,0)</f>
        <v>230676.19130491023</v>
      </c>
      <c r="M16" s="330">
        <f>M15*1.075</f>
        <v>23549320.365449999</v>
      </c>
      <c r="N16" s="16"/>
      <c r="O16" s="19"/>
      <c r="P16" s="330">
        <f>P15*1.075</f>
        <v>7452156.9249999998</v>
      </c>
      <c r="Q16" s="16"/>
      <c r="R16" s="19"/>
      <c r="S16" s="421">
        <v>7207677</v>
      </c>
      <c r="T16" s="78"/>
      <c r="U16" s="296"/>
      <c r="W16" s="70"/>
      <c r="X16" s="328"/>
      <c r="Y16" s="536">
        <f>D16+G16+J16+M16+P16+S16+V16</f>
        <v>211395462.16281089</v>
      </c>
      <c r="Z16" s="245">
        <v>30</v>
      </c>
      <c r="AA16" s="297">
        <f>F16+I16+L16+O16+R16+U16+X16</f>
        <v>15731393.000544162</v>
      </c>
      <c r="AB16" s="71"/>
      <c r="AC16" s="141"/>
      <c r="AD16" s="111"/>
      <c r="AO16" s="216">
        <v>500000</v>
      </c>
    </row>
    <row r="17" spans="1:41" ht="16.5" thickTop="1" thickBot="1" x14ac:dyDescent="0.3">
      <c r="A17" s="49">
        <f>A16+1</f>
        <v>2</v>
      </c>
      <c r="B17" s="49">
        <f t="shared" ref="B17:B45" si="2">B16+1</f>
        <v>2016</v>
      </c>
      <c r="C17" s="49">
        <f t="shared" si="0"/>
        <v>2019</v>
      </c>
      <c r="D17" s="54">
        <f>D16*1.07375-F16*1.07375^0.5</f>
        <v>194651849.24187624</v>
      </c>
      <c r="E17" s="63">
        <f>E16-1</f>
        <v>16</v>
      </c>
      <c r="F17" s="56">
        <f>-PMT(1.07375/1.03-1,E17,D17*1.07375^0.5,0,1)</f>
        <v>16909443.851918712</v>
      </c>
      <c r="G17" s="54">
        <f t="shared" ref="G17:G32" si="3">G16*1.07-I16*1.07^0.5</f>
        <v>-43284700.465710379</v>
      </c>
      <c r="H17" s="63">
        <f t="shared" ref="H17:H45" si="4">H16-1</f>
        <v>28</v>
      </c>
      <c r="I17" s="56">
        <f t="shared" si="1"/>
        <v>-1657346.7611483713</v>
      </c>
      <c r="J17" s="54">
        <f>J16*1.07-L16*1.07^0.5</f>
        <v>18379292.532321267</v>
      </c>
      <c r="K17" s="63">
        <f>K16-1</f>
        <v>29</v>
      </c>
      <c r="L17" s="56">
        <f>L$16*MIN(K$5,K$16+1-K17)*(1+K$3)^(K$16-K17)*IF(K17&lt;K$5,K17/K$5,1)</f>
        <v>475192.95408811508</v>
      </c>
      <c r="M17" s="293">
        <f>M15*1.075^2</f>
        <v>25315519.392858747</v>
      </c>
      <c r="N17" s="245">
        <v>30</v>
      </c>
      <c r="O17" s="55">
        <f>IF(N17&gt;0,-PMT((1+N2)/(1+N3)-1,N6,M17,0,1)*((1+N2)^0.5)/N7,0)</f>
        <v>335615.92693401262</v>
      </c>
      <c r="P17" s="293">
        <f>P16*1.075</f>
        <v>8011068.694374999</v>
      </c>
      <c r="Q17" s="245">
        <v>20</v>
      </c>
      <c r="R17" s="56">
        <f>IF(Q17&gt;0,-PMT((1+Q2)/(1+Q3)-1,Q6,P17,0,1)*((1+Q2)^0.5)/Q7,0)</f>
        <v>146277.27634987931</v>
      </c>
      <c r="S17" s="330">
        <f>S16*1.07375</f>
        <v>7739243.17875</v>
      </c>
      <c r="T17" s="16"/>
      <c r="U17" s="19"/>
      <c r="V17" s="503">
        <v>15285882</v>
      </c>
      <c r="W17" s="78"/>
      <c r="X17" s="296"/>
      <c r="Y17" s="54">
        <f t="shared" ref="Y17:Y45" si="5">D17+G17+J17+M17+P17+S17+V17</f>
        <v>226098154.57447091</v>
      </c>
      <c r="Z17" s="63">
        <f>Z16-1</f>
        <v>29</v>
      </c>
      <c r="AA17" s="297">
        <f t="shared" ref="AA17:AA46" si="6">F17+I17+L17+O17+R17+U17+X17</f>
        <v>16209183.248142349</v>
      </c>
      <c r="AB17" s="63"/>
      <c r="AC17" s="142"/>
      <c r="AD17" s="111"/>
      <c r="AF17" s="80"/>
      <c r="AO17" s="216">
        <v>500000</v>
      </c>
    </row>
    <row r="18" spans="1:41" ht="16.5" thickTop="1" thickBot="1" x14ac:dyDescent="0.3">
      <c r="A18" s="49">
        <f t="shared" ref="A18:A45" si="7">A17+1</f>
        <v>3</v>
      </c>
      <c r="B18" s="49">
        <f t="shared" si="2"/>
        <v>2017</v>
      </c>
      <c r="C18" s="49">
        <f t="shared" si="0"/>
        <v>2020</v>
      </c>
      <c r="D18" s="54">
        <f>D17*1.0725-F17*1.0725^0.5</f>
        <v>191252421.78530017</v>
      </c>
      <c r="E18" s="63">
        <f t="shared" ref="E18:E32" si="8">E17-1</f>
        <v>15</v>
      </c>
      <c r="F18" s="56">
        <f>-PMT(1.0725/1.03-1,E18,D18*1.0725^0.5,0,1)</f>
        <v>17259504.84545349</v>
      </c>
      <c r="G18" s="54">
        <f t="shared" si="3"/>
        <v>-44600256.678076066</v>
      </c>
      <c r="H18" s="63">
        <f t="shared" si="4"/>
        <v>27</v>
      </c>
      <c r="I18" s="56">
        <f t="shared" si="1"/>
        <v>-2276089.5519770966</v>
      </c>
      <c r="J18" s="54">
        <f t="shared" ref="J18:J45" si="9">J17*1.07-L17*1.07^0.5</f>
        <v>19174299.595765568</v>
      </c>
      <c r="K18" s="63">
        <f t="shared" ref="K18:K45" si="10">K17-1</f>
        <v>28</v>
      </c>
      <c r="L18" s="56">
        <f t="shared" ref="L18:L45" si="11">L$16*MIN(K$5,K$16+1-K18)*(1+K$3)^(K$16-K18)*IF(K18&lt;K$5,K18/K$5,1)</f>
        <v>734173.1140661377</v>
      </c>
      <c r="M18" s="54">
        <f>M17*1.07-O17*1.07^0.5</f>
        <v>26740441.936085828</v>
      </c>
      <c r="N18" s="63">
        <f>N17-1</f>
        <v>29</v>
      </c>
      <c r="O18" s="56">
        <f t="shared" ref="O18:O46" si="12">O$17*MIN(N$5,N$17+1-N18)*(1+N$3)^(N$17-N18)*IF(N18&lt;N$5,N18/N$5,1)</f>
        <v>691368.80948406598</v>
      </c>
      <c r="P18" s="54">
        <f>P17*1.07-R17*1.07^0.5</f>
        <v>8420533.1117760092</v>
      </c>
      <c r="Q18" s="63">
        <f>Q17-1</f>
        <v>19</v>
      </c>
      <c r="R18" s="56">
        <f t="shared" ref="R18:R36" si="13">R$17*MIN(Q$5,Q$17+1-Q18)*(1+Q$3)^(Q$17-Q18)*IF(Q18&lt;Q$5,Q18/Q$5,1)</f>
        <v>301331.18928075139</v>
      </c>
      <c r="S18" s="293">
        <f>S16*1.07375</f>
        <v>7739243.17875</v>
      </c>
      <c r="T18" s="245">
        <v>20</v>
      </c>
      <c r="U18" s="56">
        <f>IF(T18&gt;0,-PMT((1+T2)/(1+T3)-1,T6,S18,0,1)*((1+T2)^0.5)/T7,0)</f>
        <v>141313.90659423795</v>
      </c>
      <c r="V18" s="330">
        <f>V17*1.0725</f>
        <v>16394108.445</v>
      </c>
      <c r="W18" s="16"/>
      <c r="X18" s="19"/>
      <c r="Y18" s="54">
        <f t="shared" si="5"/>
        <v>225120791.37460151</v>
      </c>
      <c r="Z18" s="63">
        <f t="shared" ref="Z18:Z46" si="14">Z17-1</f>
        <v>28</v>
      </c>
      <c r="AA18" s="297">
        <f t="shared" si="6"/>
        <v>16851602.312901586</v>
      </c>
      <c r="AB18" s="63"/>
      <c r="AC18" s="142"/>
      <c r="AD18" s="111"/>
      <c r="AO18" s="216">
        <v>500000</v>
      </c>
    </row>
    <row r="19" spans="1:41" ht="16.5" thickTop="1" thickBot="1" x14ac:dyDescent="0.3">
      <c r="A19" s="49">
        <f t="shared" si="7"/>
        <v>4</v>
      </c>
      <c r="B19" s="49">
        <f t="shared" si="2"/>
        <v>2018</v>
      </c>
      <c r="C19" s="49">
        <f t="shared" si="0"/>
        <v>2021</v>
      </c>
      <c r="D19" s="54">
        <f>D18*1.07-F18*1.07^0.5</f>
        <v>186786720.67512366</v>
      </c>
      <c r="E19" s="63">
        <f t="shared" si="8"/>
        <v>14</v>
      </c>
      <c r="F19" s="56">
        <f>-PMT(1.07/1.03-1,E19,D19*1.07^0.5,0,1)</f>
        <v>17472394.421008881</v>
      </c>
      <c r="G19" s="54">
        <f t="shared" si="3"/>
        <v>-45367869.305753306</v>
      </c>
      <c r="H19" s="63">
        <f t="shared" si="4"/>
        <v>26</v>
      </c>
      <c r="I19" s="56">
        <f t="shared" si="1"/>
        <v>-2930465.2981705116</v>
      </c>
      <c r="J19" s="54">
        <f t="shared" si="9"/>
        <v>19757065.993120059</v>
      </c>
      <c r="K19" s="63">
        <f t="shared" si="10"/>
        <v>27</v>
      </c>
      <c r="L19" s="56">
        <f t="shared" si="11"/>
        <v>1008264.4099841625</v>
      </c>
      <c r="M19" s="54">
        <f t="shared" ref="M19:M46" si="15">M18*1.07-O18*1.07^0.5</f>
        <v>27897115.414209388</v>
      </c>
      <c r="N19" s="63">
        <f t="shared" ref="N19:N46" si="16">N18-1</f>
        <v>28</v>
      </c>
      <c r="O19" s="56">
        <f t="shared" si="12"/>
        <v>1068164.8106528819</v>
      </c>
      <c r="P19" s="54">
        <f t="shared" ref="P19:P36" si="17">P18*1.07-R18*1.07^0.5</f>
        <v>8698271.0237175357</v>
      </c>
      <c r="Q19" s="63">
        <f t="shared" ref="Q19:Q36" si="18">Q18-1</f>
        <v>18</v>
      </c>
      <c r="R19" s="56">
        <f t="shared" si="13"/>
        <v>465556.68743876083</v>
      </c>
      <c r="S19" s="54">
        <f>S18*1.07-U18*1.07^0.5</f>
        <v>8134813.9596542632</v>
      </c>
      <c r="T19" s="63">
        <f>T18-1</f>
        <v>19</v>
      </c>
      <c r="U19" s="56">
        <f t="shared" ref="U19:U37" si="19">U$18*MIN(T$5,T$18+1-T19)*(1+T$3)^(T$18-T19)*IF(T19&lt;T$5,T19/T$5,1)</f>
        <v>291106.64758413017</v>
      </c>
      <c r="V19" s="293">
        <f>V17*1.0725^2</f>
        <v>17582681.307262499</v>
      </c>
      <c r="W19" s="245">
        <v>20</v>
      </c>
      <c r="X19" s="55">
        <f>IF(W19&gt;0,-PMT((1+W2)/(1+W3)-1,W6,V19,0,1)*((1+W2)^0.5)/W7,0)</f>
        <v>321049.14221497014</v>
      </c>
      <c r="Y19" s="54">
        <f t="shared" si="5"/>
        <v>223488799.06733412</v>
      </c>
      <c r="Z19" s="63">
        <f t="shared" si="14"/>
        <v>27</v>
      </c>
      <c r="AA19" s="297">
        <f t="shared" si="6"/>
        <v>17696070.820713274</v>
      </c>
      <c r="AB19" s="63"/>
      <c r="AC19" s="142"/>
      <c r="AD19" s="111"/>
      <c r="AO19" s="216">
        <v>500000</v>
      </c>
    </row>
    <row r="20" spans="1:41" ht="15.75" thickTop="1" x14ac:dyDescent="0.25">
      <c r="A20" s="49">
        <f t="shared" si="7"/>
        <v>5</v>
      </c>
      <c r="B20" s="49">
        <f t="shared" si="2"/>
        <v>2019</v>
      </c>
      <c r="C20" s="49">
        <f t="shared" si="0"/>
        <v>2022</v>
      </c>
      <c r="D20" s="54">
        <f t="shared" ref="D20:D32" si="20">D19*1.07-F19*1.07^0.5</f>
        <v>181788205.79795009</v>
      </c>
      <c r="E20" s="63">
        <f t="shared" si="8"/>
        <v>13</v>
      </c>
      <c r="F20" s="56">
        <f t="shared" ref="F20:F32" si="21">-PMT(1.07/1.03-1,E20,D20*1.07^0.5,0,1)</f>
        <v>17996566.253639158</v>
      </c>
      <c r="G20" s="54">
        <f t="shared" si="3"/>
        <v>-45512323.282178879</v>
      </c>
      <c r="H20" s="63">
        <f t="shared" si="4"/>
        <v>25</v>
      </c>
      <c r="I20" s="56">
        <f t="shared" si="1"/>
        <v>-3018379.2571156267</v>
      </c>
      <c r="J20" s="54">
        <f t="shared" si="9"/>
        <v>20097103.797199033</v>
      </c>
      <c r="K20" s="63">
        <f t="shared" si="10"/>
        <v>26</v>
      </c>
      <c r="L20" s="56">
        <f t="shared" si="11"/>
        <v>1298140.4278546092</v>
      </c>
      <c r="M20" s="54">
        <f t="shared" si="15"/>
        <v>28744995.221517265</v>
      </c>
      <c r="N20" s="63">
        <f t="shared" si="16"/>
        <v>27</v>
      </c>
      <c r="O20" s="56">
        <f t="shared" si="12"/>
        <v>1466946.3399632913</v>
      </c>
      <c r="P20" s="54">
        <f t="shared" si="17"/>
        <v>8825574.4132888485</v>
      </c>
      <c r="Q20" s="63">
        <f t="shared" si="18"/>
        <v>17</v>
      </c>
      <c r="R20" s="56">
        <f t="shared" si="13"/>
        <v>639364.51741589827</v>
      </c>
      <c r="S20" s="54">
        <f t="shared" ref="S20:S37" si="22">S19*1.07-U19*1.07^0.5</f>
        <v>8403127.879117094</v>
      </c>
      <c r="T20" s="63">
        <f t="shared" ref="T20:T37" si="23">T19-1</f>
        <v>18</v>
      </c>
      <c r="U20" s="56">
        <f t="shared" si="19"/>
        <v>449759.77051748114</v>
      </c>
      <c r="V20" s="54">
        <f>V19*1.07-X19*1.07^0.5</f>
        <v>18481373.183775932</v>
      </c>
      <c r="W20" s="63">
        <f>W19-1</f>
        <v>19</v>
      </c>
      <c r="X20" s="55">
        <f t="shared" ref="X20:X38" si="24">X$19*MIN(W$5,W$19+1-W20)*(1+W$3)^(W$19-W20)*IF(W20&lt;W$5,W20/W$5,1)</f>
        <v>661361.23296283849</v>
      </c>
      <c r="Y20" s="54">
        <f t="shared" si="5"/>
        <v>220828057.01066941</v>
      </c>
      <c r="Z20" s="63">
        <f t="shared" si="14"/>
        <v>26</v>
      </c>
      <c r="AA20" s="297">
        <f t="shared" si="6"/>
        <v>19493759.285237651</v>
      </c>
      <c r="AB20" s="63"/>
      <c r="AC20" s="142"/>
      <c r="AD20" s="111"/>
      <c r="AO20" s="216">
        <v>500000</v>
      </c>
    </row>
    <row r="21" spans="1:41" x14ac:dyDescent="0.25">
      <c r="A21" s="49">
        <f t="shared" si="7"/>
        <v>6</v>
      </c>
      <c r="B21" s="49">
        <f t="shared" si="2"/>
        <v>2020</v>
      </c>
      <c r="C21" s="49">
        <f t="shared" si="0"/>
        <v>2023</v>
      </c>
      <c r="D21" s="54">
        <f t="shared" si="20"/>
        <v>175897587.31964135</v>
      </c>
      <c r="E21" s="63">
        <f t="shared" si="8"/>
        <v>12</v>
      </c>
      <c r="F21" s="56">
        <f t="shared" si="21"/>
        <v>18536463.241248328</v>
      </c>
      <c r="G21" s="54">
        <f t="shared" si="3"/>
        <v>-45575950.130704924</v>
      </c>
      <c r="H21" s="63">
        <f t="shared" si="4"/>
        <v>24</v>
      </c>
      <c r="I21" s="56">
        <f t="shared" si="1"/>
        <v>-3108930.634829096</v>
      </c>
      <c r="J21" s="54">
        <f t="shared" si="9"/>
        <v>20161094.163124699</v>
      </c>
      <c r="K21" s="63">
        <f t="shared" si="10"/>
        <v>25</v>
      </c>
      <c r="L21" s="56">
        <f t="shared" si="11"/>
        <v>1337084.6406902473</v>
      </c>
      <c r="M21" s="54">
        <f t="shared" si="15"/>
        <v>29239723.793906961</v>
      </c>
      <c r="N21" s="63">
        <f t="shared" si="16"/>
        <v>26</v>
      </c>
      <c r="O21" s="56">
        <f t="shared" si="12"/>
        <v>1888693.4127027374</v>
      </c>
      <c r="P21" s="54">
        <f t="shared" si="17"/>
        <v>8782000.8228169568</v>
      </c>
      <c r="Q21" s="63">
        <f t="shared" si="18"/>
        <v>16</v>
      </c>
      <c r="R21" s="56">
        <f t="shared" si="13"/>
        <v>823181.81617296895</v>
      </c>
      <c r="S21" s="54">
        <f t="shared" si="22"/>
        <v>8526111.7064887546</v>
      </c>
      <c r="T21" s="63">
        <f t="shared" si="23"/>
        <v>17</v>
      </c>
      <c r="U21" s="56">
        <f t="shared" si="19"/>
        <v>617670.08484400739</v>
      </c>
      <c r="V21" s="54">
        <f t="shared" ref="V21:V38" si="25">V20*1.07-X20*1.07^0.5</f>
        <v>19090951.927750666</v>
      </c>
      <c r="W21" s="63">
        <f t="shared" ref="W21:W38" si="26">W20-1</f>
        <v>18</v>
      </c>
      <c r="X21" s="55">
        <f t="shared" si="24"/>
        <v>1021803.1049275853</v>
      </c>
      <c r="Y21" s="54">
        <f t="shared" si="5"/>
        <v>216121519.60302448</v>
      </c>
      <c r="Z21" s="63">
        <f t="shared" si="14"/>
        <v>25</v>
      </c>
      <c r="AA21" s="297">
        <f t="shared" si="6"/>
        <v>21115965.665756777</v>
      </c>
      <c r="AB21" s="63"/>
      <c r="AC21" s="142"/>
      <c r="AD21" s="111"/>
      <c r="AO21" s="216">
        <v>500000</v>
      </c>
    </row>
    <row r="22" spans="1:41" x14ac:dyDescent="0.25">
      <c r="A22" s="49">
        <f t="shared" si="7"/>
        <v>7</v>
      </c>
      <c r="B22" s="49">
        <f t="shared" si="2"/>
        <v>2021</v>
      </c>
      <c r="C22" s="49">
        <f t="shared" si="0"/>
        <v>2024</v>
      </c>
      <c r="D22" s="54">
        <f t="shared" si="20"/>
        <v>169036151.76132604</v>
      </c>
      <c r="E22" s="63">
        <f t="shared" si="8"/>
        <v>11</v>
      </c>
      <c r="F22" s="56">
        <f t="shared" si="21"/>
        <v>19092557.138485778</v>
      </c>
      <c r="G22" s="54">
        <f t="shared" si="3"/>
        <v>-45550363.785191007</v>
      </c>
      <c r="H22" s="63">
        <f t="shared" si="4"/>
        <v>23</v>
      </c>
      <c r="I22" s="56">
        <f t="shared" si="1"/>
        <v>-3202198.5538739688</v>
      </c>
      <c r="J22" s="54">
        <f t="shared" si="9"/>
        <v>20189279.647668816</v>
      </c>
      <c r="K22" s="63">
        <f t="shared" si="10"/>
        <v>24</v>
      </c>
      <c r="L22" s="56">
        <f t="shared" si="11"/>
        <v>1377197.179910955</v>
      </c>
      <c r="M22" s="54">
        <f t="shared" si="15"/>
        <v>29332824.80209294</v>
      </c>
      <c r="N22" s="63">
        <f t="shared" si="16"/>
        <v>25</v>
      </c>
      <c r="O22" s="56">
        <f t="shared" si="12"/>
        <v>1945354.2150838193</v>
      </c>
      <c r="P22" s="54">
        <f t="shared" si="17"/>
        <v>8545234.9886839259</v>
      </c>
      <c r="Q22" s="63">
        <f t="shared" si="18"/>
        <v>15</v>
      </c>
      <c r="R22" s="56">
        <f t="shared" si="13"/>
        <v>847877.270658158</v>
      </c>
      <c r="S22" s="54">
        <f t="shared" si="22"/>
        <v>8484016.6220875904</v>
      </c>
      <c r="T22" s="63">
        <f t="shared" si="23"/>
        <v>16</v>
      </c>
      <c r="U22" s="56">
        <f t="shared" si="19"/>
        <v>795250.2342366596</v>
      </c>
      <c r="V22" s="54">
        <f t="shared" si="25"/>
        <v>19370357.212308805</v>
      </c>
      <c r="W22" s="63">
        <f t="shared" si="26"/>
        <v>17</v>
      </c>
      <c r="X22" s="55">
        <f t="shared" si="24"/>
        <v>1403276.2641005507</v>
      </c>
      <c r="Y22" s="54">
        <f t="shared" si="5"/>
        <v>209407501.24897712</v>
      </c>
      <c r="Z22" s="63">
        <f t="shared" si="14"/>
        <v>24</v>
      </c>
      <c r="AA22" s="297">
        <f t="shared" si="6"/>
        <v>22259313.748601954</v>
      </c>
      <c r="AB22" s="63"/>
      <c r="AC22" s="142"/>
      <c r="AD22" s="111"/>
      <c r="AO22" s="216">
        <v>500000</v>
      </c>
    </row>
    <row r="23" spans="1:41" x14ac:dyDescent="0.25">
      <c r="A23" s="49">
        <f t="shared" si="7"/>
        <v>8</v>
      </c>
      <c r="B23" s="49">
        <f t="shared" si="2"/>
        <v>2022</v>
      </c>
      <c r="C23" s="49">
        <f t="shared" si="0"/>
        <v>2025</v>
      </c>
      <c r="D23" s="54">
        <f t="shared" si="20"/>
        <v>161119187.71380797</v>
      </c>
      <c r="E23" s="63">
        <f t="shared" si="8"/>
        <v>10</v>
      </c>
      <c r="F23" s="56">
        <f t="shared" si="21"/>
        <v>19665333.852640357</v>
      </c>
      <c r="G23" s="54">
        <f t="shared" si="3"/>
        <v>-45426509.309851214</v>
      </c>
      <c r="H23" s="63">
        <f t="shared" si="4"/>
        <v>22</v>
      </c>
      <c r="I23" s="56">
        <f t="shared" si="1"/>
        <v>-3298264.5104901874</v>
      </c>
      <c r="J23" s="54">
        <f t="shared" si="9"/>
        <v>20177945.38292478</v>
      </c>
      <c r="K23" s="63">
        <f t="shared" si="10"/>
        <v>23</v>
      </c>
      <c r="L23" s="56">
        <f t="shared" si="11"/>
        <v>1418513.0953082836</v>
      </c>
      <c r="M23" s="54">
        <f t="shared" si="15"/>
        <v>29373832.491130311</v>
      </c>
      <c r="N23" s="63">
        <f t="shared" si="16"/>
        <v>24</v>
      </c>
      <c r="O23" s="56">
        <f t="shared" si="12"/>
        <v>2003714.841536334</v>
      </c>
      <c r="P23" s="54">
        <f t="shared" si="17"/>
        <v>8266350.3694096766</v>
      </c>
      <c r="Q23" s="63">
        <f t="shared" si="18"/>
        <v>14</v>
      </c>
      <c r="R23" s="56">
        <f t="shared" si="13"/>
        <v>873313.58877790277</v>
      </c>
      <c r="S23" s="54">
        <f t="shared" si="22"/>
        <v>8255284.5469199242</v>
      </c>
      <c r="T23" s="63">
        <f t="shared" si="23"/>
        <v>15</v>
      </c>
      <c r="U23" s="56">
        <f t="shared" si="19"/>
        <v>819107.74126375932</v>
      </c>
      <c r="V23" s="54">
        <f t="shared" si="25"/>
        <v>19274721.962642506</v>
      </c>
      <c r="W23" s="63">
        <f t="shared" si="26"/>
        <v>16</v>
      </c>
      <c r="X23" s="55">
        <f t="shared" si="24"/>
        <v>1806718.1900294591</v>
      </c>
      <c r="Y23" s="54">
        <f t="shared" si="5"/>
        <v>201040813.15698397</v>
      </c>
      <c r="Z23" s="63">
        <f t="shared" si="14"/>
        <v>23</v>
      </c>
      <c r="AA23" s="297">
        <f t="shared" si="6"/>
        <v>23288436.79906591</v>
      </c>
      <c r="AB23" s="63"/>
      <c r="AC23" s="142"/>
      <c r="AD23" s="111"/>
      <c r="AO23" s="216">
        <v>500000</v>
      </c>
    </row>
    <row r="24" spans="1:41" x14ac:dyDescent="0.25">
      <c r="A24" s="49">
        <f t="shared" si="7"/>
        <v>9</v>
      </c>
      <c r="B24" s="49">
        <f t="shared" si="2"/>
        <v>2023</v>
      </c>
      <c r="C24" s="49">
        <f t="shared" si="0"/>
        <v>2026</v>
      </c>
      <c r="D24" s="54">
        <f t="shared" si="20"/>
        <v>152055551.3428393</v>
      </c>
      <c r="E24" s="63">
        <f t="shared" si="8"/>
        <v>9</v>
      </c>
      <c r="F24" s="56">
        <f t="shared" si="21"/>
        <v>20255293.868219573</v>
      </c>
      <c r="G24" s="54">
        <f t="shared" si="3"/>
        <v>-45194613.623028539</v>
      </c>
      <c r="H24" s="63">
        <f t="shared" si="4"/>
        <v>21</v>
      </c>
      <c r="I24" s="56">
        <f t="shared" si="1"/>
        <v>-3397212.4458048935</v>
      </c>
      <c r="J24" s="54">
        <f t="shared" si="9"/>
        <v>20123080.204446234</v>
      </c>
      <c r="K24" s="63">
        <f t="shared" si="10"/>
        <v>22</v>
      </c>
      <c r="L24" s="56">
        <f t="shared" si="11"/>
        <v>1461068.488167532</v>
      </c>
      <c r="M24" s="54">
        <f t="shared" si="15"/>
        <v>29357342.016987022</v>
      </c>
      <c r="N24" s="63">
        <f t="shared" si="16"/>
        <v>23</v>
      </c>
      <c r="O24" s="56">
        <f t="shared" si="12"/>
        <v>2063826.2867824242</v>
      </c>
      <c r="P24" s="54">
        <f t="shared" si="17"/>
        <v>7941632.2947317651</v>
      </c>
      <c r="Q24" s="63">
        <f t="shared" si="18"/>
        <v>13</v>
      </c>
      <c r="R24" s="56">
        <f t="shared" si="13"/>
        <v>899512.99644123996</v>
      </c>
      <c r="S24" s="54">
        <f t="shared" si="22"/>
        <v>7985862.829329107</v>
      </c>
      <c r="T24" s="63">
        <f t="shared" si="23"/>
        <v>14</v>
      </c>
      <c r="U24" s="56">
        <f t="shared" si="19"/>
        <v>843680.97350167215</v>
      </c>
      <c r="V24" s="54">
        <f t="shared" si="25"/>
        <v>18755068.672322784</v>
      </c>
      <c r="W24" s="63">
        <f t="shared" si="26"/>
        <v>15</v>
      </c>
      <c r="X24" s="55">
        <f t="shared" si="24"/>
        <v>1860919.7357303426</v>
      </c>
      <c r="Y24" s="54">
        <f t="shared" si="5"/>
        <v>191023923.73762766</v>
      </c>
      <c r="Z24" s="63">
        <f t="shared" si="14"/>
        <v>22</v>
      </c>
      <c r="AA24" s="297">
        <f t="shared" si="6"/>
        <v>23987089.903037891</v>
      </c>
      <c r="AB24" s="63"/>
      <c r="AC24" s="142"/>
      <c r="AD24" s="111"/>
      <c r="AO24" s="216">
        <v>500000</v>
      </c>
    </row>
    <row r="25" spans="1:41" x14ac:dyDescent="0.25">
      <c r="A25" s="49">
        <f t="shared" si="7"/>
        <v>10</v>
      </c>
      <c r="B25" s="49">
        <f t="shared" si="2"/>
        <v>2024</v>
      </c>
      <c r="C25" s="49">
        <f t="shared" si="0"/>
        <v>2027</v>
      </c>
      <c r="D25" s="54">
        <f t="shared" si="20"/>
        <v>141747201.04057476</v>
      </c>
      <c r="E25" s="63">
        <f t="shared" si="8"/>
        <v>8</v>
      </c>
      <c r="F25" s="56">
        <f t="shared" si="21"/>
        <v>20862952.684266157</v>
      </c>
      <c r="G25" s="54">
        <f t="shared" si="3"/>
        <v>-44844132.697972909</v>
      </c>
      <c r="H25" s="63">
        <f t="shared" si="4"/>
        <v>20</v>
      </c>
      <c r="I25" s="56">
        <f t="shared" si="1"/>
        <v>-3499128.8191790399</v>
      </c>
      <c r="J25" s="54">
        <f t="shared" si="9"/>
        <v>20020354.82281569</v>
      </c>
      <c r="K25" s="63">
        <f t="shared" si="10"/>
        <v>21</v>
      </c>
      <c r="L25" s="56">
        <f t="shared" si="11"/>
        <v>1504900.5428125579</v>
      </c>
      <c r="M25" s="54">
        <f t="shared" si="15"/>
        <v>29277517.44719803</v>
      </c>
      <c r="N25" s="63">
        <f t="shared" si="16"/>
        <v>22</v>
      </c>
      <c r="O25" s="56">
        <f t="shared" si="12"/>
        <v>2125741.0753858965</v>
      </c>
      <c r="P25" s="54">
        <f t="shared" si="17"/>
        <v>7567083.0768103013</v>
      </c>
      <c r="Q25" s="63">
        <f t="shared" si="18"/>
        <v>12</v>
      </c>
      <c r="R25" s="56">
        <f t="shared" si="13"/>
        <v>926498.38633447699</v>
      </c>
      <c r="S25" s="54">
        <f t="shared" si="22"/>
        <v>7672162.8424306773</v>
      </c>
      <c r="T25" s="63">
        <f t="shared" si="23"/>
        <v>13</v>
      </c>
      <c r="U25" s="56">
        <f t="shared" si="19"/>
        <v>868991.40270672238</v>
      </c>
      <c r="V25" s="54">
        <f t="shared" si="25"/>
        <v>18142973.136849541</v>
      </c>
      <c r="W25" s="63">
        <f t="shared" si="26"/>
        <v>14</v>
      </c>
      <c r="X25" s="55">
        <f t="shared" si="24"/>
        <v>1916747.327802253</v>
      </c>
      <c r="Y25" s="54">
        <f t="shared" si="5"/>
        <v>179583159.66870609</v>
      </c>
      <c r="Z25" s="63">
        <f t="shared" si="14"/>
        <v>21</v>
      </c>
      <c r="AA25" s="297">
        <f t="shared" si="6"/>
        <v>24706702.600129031</v>
      </c>
      <c r="AB25" s="63"/>
      <c r="AC25" s="142"/>
      <c r="AD25" s="111"/>
      <c r="AO25" s="216">
        <v>500000</v>
      </c>
    </row>
    <row r="26" spans="1:41" x14ac:dyDescent="0.25">
      <c r="A26" s="49">
        <f t="shared" si="7"/>
        <v>11</v>
      </c>
      <c r="B26" s="49">
        <f t="shared" si="2"/>
        <v>2025</v>
      </c>
      <c r="C26" s="49">
        <f t="shared" si="0"/>
        <v>2028</v>
      </c>
      <c r="D26" s="54">
        <f t="shared" si="20"/>
        <v>130088699.05026381</v>
      </c>
      <c r="E26" s="63">
        <f t="shared" si="8"/>
        <v>7</v>
      </c>
      <c r="F26" s="56">
        <f t="shared" si="21"/>
        <v>21488841.264794141</v>
      </c>
      <c r="G26" s="54">
        <f t="shared" si="3"/>
        <v>-44363694.991803356</v>
      </c>
      <c r="H26" s="63">
        <f t="shared" si="4"/>
        <v>19</v>
      </c>
      <c r="I26" s="56">
        <f t="shared" si="1"/>
        <v>-3604102.6837544115</v>
      </c>
      <c r="J26" s="54">
        <f t="shared" si="9"/>
        <v>19865098.434592757</v>
      </c>
      <c r="K26" s="63">
        <f t="shared" si="10"/>
        <v>20</v>
      </c>
      <c r="L26" s="56">
        <f t="shared" si="11"/>
        <v>1550047.5590969347</v>
      </c>
      <c r="M26" s="54">
        <f t="shared" si="15"/>
        <v>29128060.002194472</v>
      </c>
      <c r="N26" s="63">
        <f t="shared" si="16"/>
        <v>21</v>
      </c>
      <c r="O26" s="56">
        <f t="shared" si="12"/>
        <v>2189513.3076474736</v>
      </c>
      <c r="P26" s="54">
        <f t="shared" si="17"/>
        <v>7138401.5092777554</v>
      </c>
      <c r="Q26" s="63">
        <f t="shared" si="18"/>
        <v>11</v>
      </c>
      <c r="R26" s="56">
        <f t="shared" si="13"/>
        <v>954293.3379245114</v>
      </c>
      <c r="S26" s="54">
        <f t="shared" si="22"/>
        <v>7310322.5449008122</v>
      </c>
      <c r="T26" s="63">
        <f t="shared" si="23"/>
        <v>12</v>
      </c>
      <c r="U26" s="56">
        <f t="shared" si="19"/>
        <v>895061.1447879239</v>
      </c>
      <c r="V26" s="54">
        <f t="shared" si="25"/>
        <v>17430282.403617095</v>
      </c>
      <c r="W26" s="63">
        <f t="shared" si="26"/>
        <v>13</v>
      </c>
      <c r="X26" s="55">
        <f t="shared" si="24"/>
        <v>1974249.7476363208</v>
      </c>
      <c r="Y26" s="54">
        <f t="shared" si="5"/>
        <v>166597168.95304331</v>
      </c>
      <c r="Z26" s="63">
        <f t="shared" si="14"/>
        <v>20</v>
      </c>
      <c r="AA26" s="297">
        <f t="shared" si="6"/>
        <v>25447903.678132895</v>
      </c>
      <c r="AB26" s="63"/>
      <c r="AC26" s="142"/>
      <c r="AD26" s="111"/>
      <c r="AO26" s="216">
        <v>500000</v>
      </c>
    </row>
    <row r="27" spans="1:41" x14ac:dyDescent="0.25">
      <c r="A27" s="49">
        <f t="shared" si="7"/>
        <v>12</v>
      </c>
      <c r="B27" s="49">
        <f t="shared" si="2"/>
        <v>2026</v>
      </c>
      <c r="C27" s="49">
        <f t="shared" si="0"/>
        <v>2029</v>
      </c>
      <c r="D27" s="54">
        <f t="shared" si="20"/>
        <v>116966677.73873655</v>
      </c>
      <c r="E27" s="63">
        <f t="shared" si="8"/>
        <v>6</v>
      </c>
      <c r="F27" s="56">
        <f t="shared" si="21"/>
        <v>22133506.502737977</v>
      </c>
      <c r="G27" s="54">
        <f t="shared" si="3"/>
        <v>-43741040.836351104</v>
      </c>
      <c r="H27" s="63">
        <f t="shared" si="4"/>
        <v>18</v>
      </c>
      <c r="I27" s="56">
        <f t="shared" si="1"/>
        <v>-3712225.7642670432</v>
      </c>
      <c r="J27" s="54">
        <f t="shared" si="9"/>
        <v>19652273.662419617</v>
      </c>
      <c r="K27" s="63">
        <f t="shared" si="10"/>
        <v>19</v>
      </c>
      <c r="L27" s="56">
        <f t="shared" si="11"/>
        <v>1596548.9858698428</v>
      </c>
      <c r="M27" s="54">
        <f t="shared" si="15"/>
        <v>28902174.026051439</v>
      </c>
      <c r="N27" s="63">
        <f t="shared" si="16"/>
        <v>20</v>
      </c>
      <c r="O27" s="56">
        <f t="shared" si="12"/>
        <v>2255198.7068768977</v>
      </c>
      <c r="P27" s="54">
        <f t="shared" si="17"/>
        <v>6650960.9105306529</v>
      </c>
      <c r="Q27" s="63">
        <f t="shared" si="18"/>
        <v>10</v>
      </c>
      <c r="R27" s="56">
        <f t="shared" si="13"/>
        <v>982922.13806224673</v>
      </c>
      <c r="S27" s="54">
        <f t="shared" si="22"/>
        <v>6896186.6756488569</v>
      </c>
      <c r="T27" s="63">
        <f t="shared" si="23"/>
        <v>11</v>
      </c>
      <c r="U27" s="56">
        <f t="shared" si="19"/>
        <v>921912.9791315617</v>
      </c>
      <c r="V27" s="54">
        <f t="shared" si="25"/>
        <v>16608222.353474021</v>
      </c>
      <c r="W27" s="63">
        <f t="shared" si="26"/>
        <v>12</v>
      </c>
      <c r="X27" s="55">
        <f t="shared" si="24"/>
        <v>2033477.24006541</v>
      </c>
      <c r="Y27" s="54">
        <f t="shared" si="5"/>
        <v>151935454.53051004</v>
      </c>
      <c r="Z27" s="63">
        <f t="shared" si="14"/>
        <v>19</v>
      </c>
      <c r="AA27" s="297">
        <f t="shared" si="6"/>
        <v>26211340.788476892</v>
      </c>
      <c r="AB27" s="63"/>
      <c r="AC27" s="142"/>
      <c r="AD27" s="111"/>
      <c r="AO27" s="216">
        <v>500000</v>
      </c>
    </row>
    <row r="28" spans="1:41" s="50" customFormat="1" x14ac:dyDescent="0.25">
      <c r="A28" s="49">
        <f t="shared" si="7"/>
        <v>13</v>
      </c>
      <c r="B28" s="49">
        <f t="shared" si="2"/>
        <v>2027</v>
      </c>
      <c r="C28" s="49">
        <f t="shared" si="0"/>
        <v>2030</v>
      </c>
      <c r="D28" s="54">
        <f t="shared" si="20"/>
        <v>102259268.028051</v>
      </c>
      <c r="E28" s="63">
        <f t="shared" si="8"/>
        <v>5</v>
      </c>
      <c r="F28" s="56">
        <f t="shared" si="21"/>
        <v>22797511.697820108</v>
      </c>
      <c r="G28" s="54">
        <f t="shared" si="3"/>
        <v>-42962957.505870841</v>
      </c>
      <c r="H28" s="63">
        <f t="shared" si="4"/>
        <v>17</v>
      </c>
      <c r="I28" s="56">
        <f t="shared" si="1"/>
        <v>-3823592.5371950543</v>
      </c>
      <c r="J28" s="54">
        <f t="shared" si="9"/>
        <v>19376449.70631652</v>
      </c>
      <c r="K28" s="63">
        <f t="shared" si="10"/>
        <v>18</v>
      </c>
      <c r="L28" s="56">
        <f t="shared" si="11"/>
        <v>1644445.4554459378</v>
      </c>
      <c r="M28" s="54">
        <f t="shared" si="15"/>
        <v>28592530.526289497</v>
      </c>
      <c r="N28" s="63">
        <f t="shared" si="16"/>
        <v>19</v>
      </c>
      <c r="O28" s="56">
        <f t="shared" si="12"/>
        <v>2322854.6680832049</v>
      </c>
      <c r="P28" s="54">
        <f t="shared" si="17"/>
        <v>6099785.6087393565</v>
      </c>
      <c r="Q28" s="63">
        <f t="shared" si="18"/>
        <v>9</v>
      </c>
      <c r="R28" s="56">
        <f t="shared" si="13"/>
        <v>1012409.8022041142</v>
      </c>
      <c r="S28" s="54">
        <f t="shared" si="22"/>
        <v>6425285.5421274137</v>
      </c>
      <c r="T28" s="63">
        <f t="shared" si="23"/>
        <v>10</v>
      </c>
      <c r="U28" s="56">
        <f t="shared" si="19"/>
        <v>949570.36850550852</v>
      </c>
      <c r="V28" s="54">
        <f t="shared" si="25"/>
        <v>15667352.705269046</v>
      </c>
      <c r="W28" s="63">
        <f t="shared" si="26"/>
        <v>11</v>
      </c>
      <c r="X28" s="55">
        <f t="shared" si="24"/>
        <v>2094481.5572673725</v>
      </c>
      <c r="Y28" s="54">
        <f t="shared" si="5"/>
        <v>135457714.61092201</v>
      </c>
      <c r="Z28" s="63">
        <f t="shared" si="14"/>
        <v>18</v>
      </c>
      <c r="AA28" s="297">
        <f t="shared" si="6"/>
        <v>26997681.012131192</v>
      </c>
      <c r="AB28" s="63"/>
      <c r="AC28" s="142"/>
      <c r="AD28" s="111"/>
      <c r="AE28" s="73"/>
      <c r="AF28" s="49"/>
      <c r="AO28" s="216">
        <v>500000</v>
      </c>
    </row>
    <row r="29" spans="1:41" s="50" customFormat="1" x14ac:dyDescent="0.25">
      <c r="A29" s="49">
        <f t="shared" si="7"/>
        <v>14</v>
      </c>
      <c r="B29" s="49">
        <f t="shared" si="2"/>
        <v>2028</v>
      </c>
      <c r="C29" s="49">
        <f t="shared" si="0"/>
        <v>2031</v>
      </c>
      <c r="D29" s="54">
        <f t="shared" si="20"/>
        <v>85835487.323045552</v>
      </c>
      <c r="E29" s="63">
        <f t="shared" si="8"/>
        <v>4</v>
      </c>
      <c r="F29" s="56">
        <f t="shared" si="21"/>
        <v>23481437.048754714</v>
      </c>
      <c r="G29" s="54">
        <f t="shared" si="3"/>
        <v>-42015209.656586215</v>
      </c>
      <c r="H29" s="63">
        <f t="shared" si="4"/>
        <v>16</v>
      </c>
      <c r="I29" s="56">
        <f t="shared" si="1"/>
        <v>-3938300.3133109063</v>
      </c>
      <c r="J29" s="54">
        <f t="shared" si="9"/>
        <v>19031773.579912029</v>
      </c>
      <c r="K29" s="63">
        <f t="shared" si="10"/>
        <v>17</v>
      </c>
      <c r="L29" s="56">
        <f t="shared" si="11"/>
        <v>1693778.819109316</v>
      </c>
      <c r="M29" s="54">
        <f t="shared" si="15"/>
        <v>28191228.111096647</v>
      </c>
      <c r="N29" s="63">
        <f t="shared" si="16"/>
        <v>18</v>
      </c>
      <c r="O29" s="56">
        <f t="shared" si="12"/>
        <v>2392540.3081257008</v>
      </c>
      <c r="P29" s="54">
        <f t="shared" si="17"/>
        <v>5479525.7588568162</v>
      </c>
      <c r="Q29" s="63">
        <f t="shared" si="18"/>
        <v>8</v>
      </c>
      <c r="R29" s="56">
        <f t="shared" si="13"/>
        <v>1042782.0962702374</v>
      </c>
      <c r="S29" s="54">
        <f t="shared" si="22"/>
        <v>5892812.3032349646</v>
      </c>
      <c r="T29" s="63">
        <f t="shared" si="23"/>
        <v>9</v>
      </c>
      <c r="U29" s="56">
        <f t="shared" si="19"/>
        <v>978057.47956067382</v>
      </c>
      <c r="V29" s="54">
        <f t="shared" si="25"/>
        <v>14597518.825301278</v>
      </c>
      <c r="W29" s="63">
        <f t="shared" si="26"/>
        <v>10</v>
      </c>
      <c r="X29" s="55">
        <f t="shared" si="24"/>
        <v>2157316.0039853938</v>
      </c>
      <c r="Y29" s="54">
        <f t="shared" si="5"/>
        <v>117013136.24486107</v>
      </c>
      <c r="Z29" s="63">
        <f t="shared" si="14"/>
        <v>17</v>
      </c>
      <c r="AA29" s="297">
        <f t="shared" si="6"/>
        <v>27807611.44249513</v>
      </c>
      <c r="AB29" s="63"/>
      <c r="AC29" s="142"/>
      <c r="AD29" s="111"/>
      <c r="AE29" s="73"/>
      <c r="AF29" s="49"/>
      <c r="AO29" s="216">
        <v>500000</v>
      </c>
    </row>
    <row r="30" spans="1:41" s="50" customFormat="1" x14ac:dyDescent="0.25">
      <c r="A30" s="49">
        <f t="shared" si="7"/>
        <v>15</v>
      </c>
      <c r="B30" s="49">
        <f t="shared" si="2"/>
        <v>2029</v>
      </c>
      <c r="C30" s="49">
        <f t="shared" si="0"/>
        <v>2032</v>
      </c>
      <c r="D30" s="54">
        <f t="shared" si="20"/>
        <v>67554584.084680662</v>
      </c>
      <c r="E30" s="63">
        <f t="shared" si="8"/>
        <v>3</v>
      </c>
      <c r="F30" s="56">
        <f t="shared" si="21"/>
        <v>24185880.16021736</v>
      </c>
      <c r="G30" s="54">
        <f t="shared" si="3"/>
        <v>-40882464.811610796</v>
      </c>
      <c r="H30" s="63">
        <f t="shared" si="4"/>
        <v>15</v>
      </c>
      <c r="I30" s="56">
        <f t="shared" si="1"/>
        <v>-4056449.3227102337</v>
      </c>
      <c r="J30" s="54">
        <f t="shared" si="9"/>
        <v>18611939.296483826</v>
      </c>
      <c r="K30" s="63">
        <f t="shared" si="10"/>
        <v>16</v>
      </c>
      <c r="L30" s="56">
        <f t="shared" si="11"/>
        <v>1744592.1836825956</v>
      </c>
      <c r="M30" s="54">
        <f t="shared" si="15"/>
        <v>27689751.140279308</v>
      </c>
      <c r="N30" s="63">
        <f t="shared" si="16"/>
        <v>17</v>
      </c>
      <c r="O30" s="56">
        <f t="shared" si="12"/>
        <v>2464316.5173694715</v>
      </c>
      <c r="P30" s="54">
        <f t="shared" si="17"/>
        <v>4784430.3742076699</v>
      </c>
      <c r="Q30" s="63">
        <f t="shared" si="18"/>
        <v>7</v>
      </c>
      <c r="R30" s="56">
        <f t="shared" si="13"/>
        <v>1074065.5591583445</v>
      </c>
      <c r="S30" s="54">
        <f t="shared" si="22"/>
        <v>5293598.6408148026</v>
      </c>
      <c r="T30" s="63">
        <f t="shared" si="23"/>
        <v>8</v>
      </c>
      <c r="U30" s="56">
        <f t="shared" si="19"/>
        <v>1007399.2039474938</v>
      </c>
      <c r="V30" s="54">
        <f t="shared" si="25"/>
        <v>13387800.116655668</v>
      </c>
      <c r="W30" s="63">
        <f t="shared" si="26"/>
        <v>9</v>
      </c>
      <c r="X30" s="55">
        <f t="shared" si="24"/>
        <v>2222035.4841049556</v>
      </c>
      <c r="Y30" s="54">
        <f t="shared" si="5"/>
        <v>96439638.84151113</v>
      </c>
      <c r="Z30" s="63">
        <f t="shared" si="14"/>
        <v>16</v>
      </c>
      <c r="AA30" s="297">
        <f t="shared" si="6"/>
        <v>28641839.785769984</v>
      </c>
      <c r="AB30" s="63"/>
      <c r="AC30" s="142"/>
      <c r="AD30" s="111"/>
      <c r="AE30" s="73"/>
      <c r="AF30" s="49"/>
      <c r="AO30" s="216">
        <v>500000</v>
      </c>
    </row>
    <row r="31" spans="1:41" s="50" customFormat="1" x14ac:dyDescent="0.25">
      <c r="A31" s="49">
        <f t="shared" si="7"/>
        <v>16</v>
      </c>
      <c r="B31" s="49">
        <f t="shared" si="2"/>
        <v>2030</v>
      </c>
      <c r="C31" s="49">
        <f t="shared" si="0"/>
        <v>2033</v>
      </c>
      <c r="D31" s="54">
        <f t="shared" si="20"/>
        <v>47265335.999100864</v>
      </c>
      <c r="E31" s="63">
        <f t="shared" si="8"/>
        <v>2</v>
      </c>
      <c r="F31" s="56">
        <f t="shared" si="21"/>
        <v>24911456.565023873</v>
      </c>
      <c r="G31" s="54">
        <f t="shared" si="3"/>
        <v>-39548213.541859008</v>
      </c>
      <c r="H31" s="63">
        <f t="shared" si="4"/>
        <v>14</v>
      </c>
      <c r="I31" s="56">
        <f t="shared" si="1"/>
        <v>-4178142.8023915403</v>
      </c>
      <c r="J31" s="54">
        <f t="shared" si="9"/>
        <v>18110154.860194989</v>
      </c>
      <c r="K31" s="63">
        <f t="shared" si="10"/>
        <v>15</v>
      </c>
      <c r="L31" s="56">
        <f t="shared" si="11"/>
        <v>1796929.9491930734</v>
      </c>
      <c r="M31" s="54">
        <f t="shared" si="15"/>
        <v>27078924.893346932</v>
      </c>
      <c r="N31" s="63">
        <f t="shared" si="16"/>
        <v>16</v>
      </c>
      <c r="O31" s="56">
        <f t="shared" si="12"/>
        <v>2538246.0128905559</v>
      </c>
      <c r="P31" s="54">
        <f t="shared" si="17"/>
        <v>4008318.4470000099</v>
      </c>
      <c r="Q31" s="63">
        <f t="shared" si="18"/>
        <v>6</v>
      </c>
      <c r="R31" s="56">
        <f t="shared" si="13"/>
        <v>1106287.525933095</v>
      </c>
      <c r="S31" s="54">
        <f t="shared" si="22"/>
        <v>4622088.7063158313</v>
      </c>
      <c r="T31" s="63">
        <f t="shared" si="23"/>
        <v>7</v>
      </c>
      <c r="U31" s="56">
        <f t="shared" si="19"/>
        <v>1037621.1800659186</v>
      </c>
      <c r="V31" s="54">
        <f t="shared" si="25"/>
        <v>12026454.747612365</v>
      </c>
      <c r="W31" s="63">
        <f t="shared" si="26"/>
        <v>8</v>
      </c>
      <c r="X31" s="55">
        <f t="shared" si="24"/>
        <v>2288696.5486281039</v>
      </c>
      <c r="Y31" s="54">
        <f t="shared" si="5"/>
        <v>73563064.111711979</v>
      </c>
      <c r="Z31" s="63">
        <f t="shared" si="14"/>
        <v>15</v>
      </c>
      <c r="AA31" s="297">
        <f t="shared" si="6"/>
        <v>29501094.979343079</v>
      </c>
      <c r="AB31" s="63"/>
      <c r="AC31" s="142"/>
      <c r="AD31" s="111"/>
      <c r="AE31" s="73"/>
      <c r="AF31" s="49"/>
      <c r="AO31" s="216">
        <v>500000</v>
      </c>
    </row>
    <row r="32" spans="1:41" s="50" customFormat="1" x14ac:dyDescent="0.25">
      <c r="A32" s="49">
        <f t="shared" si="7"/>
        <v>17</v>
      </c>
      <c r="B32" s="49">
        <f t="shared" si="2"/>
        <v>2031</v>
      </c>
      <c r="C32" s="49">
        <f t="shared" si="0"/>
        <v>2034</v>
      </c>
      <c r="D32" s="54">
        <f t="shared" si="20"/>
        <v>24805298.47838527</v>
      </c>
      <c r="E32" s="63">
        <f t="shared" si="8"/>
        <v>1</v>
      </c>
      <c r="F32" s="56">
        <f t="shared" si="21"/>
        <v>25658800.261974592</v>
      </c>
      <c r="G32" s="54">
        <f t="shared" si="3"/>
        <v>-37994683.969027653</v>
      </c>
      <c r="H32" s="63">
        <f t="shared" si="4"/>
        <v>13</v>
      </c>
      <c r="I32" s="56">
        <f t="shared" si="1"/>
        <v>-4303487.0864632865</v>
      </c>
      <c r="J32" s="54">
        <f t="shared" si="9"/>
        <v>17519106.907754648</v>
      </c>
      <c r="K32" s="63">
        <f t="shared" si="10"/>
        <v>14</v>
      </c>
      <c r="L32" s="56">
        <f t="shared" si="11"/>
        <v>1850837.8476688655</v>
      </c>
      <c r="M32" s="54">
        <f t="shared" si="15"/>
        <v>26348867.54432673</v>
      </c>
      <c r="N32" s="63">
        <f t="shared" si="16"/>
        <v>15</v>
      </c>
      <c r="O32" s="56">
        <f t="shared" si="12"/>
        <v>2614393.393277273</v>
      </c>
      <c r="P32" s="54">
        <f t="shared" si="17"/>
        <v>3144548.023285747</v>
      </c>
      <c r="Q32" s="63">
        <f t="shared" si="18"/>
        <v>5</v>
      </c>
      <c r="R32" s="56">
        <f t="shared" si="13"/>
        <v>1139476.1517110879</v>
      </c>
      <c r="S32" s="54">
        <f t="shared" si="22"/>
        <v>3872311.2212212514</v>
      </c>
      <c r="T32" s="63">
        <f t="shared" si="23"/>
        <v>6</v>
      </c>
      <c r="U32" s="56">
        <f t="shared" si="19"/>
        <v>1068749.8154678964</v>
      </c>
      <c r="V32" s="54">
        <f t="shared" si="25"/>
        <v>10500860.461419754</v>
      </c>
      <c r="W32" s="63">
        <f t="shared" si="26"/>
        <v>7</v>
      </c>
      <c r="X32" s="55">
        <f t="shared" si="24"/>
        <v>2357357.4450869467</v>
      </c>
      <c r="Y32" s="54">
        <f t="shared" si="5"/>
        <v>48196308.667365752</v>
      </c>
      <c r="Z32" s="63">
        <f t="shared" si="14"/>
        <v>14</v>
      </c>
      <c r="AA32" s="297">
        <f t="shared" si="6"/>
        <v>30386127.828723371</v>
      </c>
      <c r="AB32" s="63"/>
      <c r="AC32" s="142"/>
      <c r="AD32" s="111"/>
      <c r="AE32" s="73"/>
      <c r="AF32" s="49"/>
      <c r="AO32" s="216">
        <v>500000</v>
      </c>
    </row>
    <row r="33" spans="1:41" s="50" customFormat="1" x14ac:dyDescent="0.25">
      <c r="A33" s="49">
        <f t="shared" si="7"/>
        <v>18</v>
      </c>
      <c r="B33" s="49">
        <f t="shared" si="2"/>
        <v>2032</v>
      </c>
      <c r="C33" s="49">
        <f t="shared" si="0"/>
        <v>2035</v>
      </c>
      <c r="D33" s="54"/>
      <c r="E33" s="63"/>
      <c r="F33" s="56"/>
      <c r="G33" s="54">
        <f t="shared" ref="G33:G45" si="27">G32*1.07-I32*1.07^0.5</f>
        <v>-36202750.190475255</v>
      </c>
      <c r="H33" s="63">
        <f t="shared" si="4"/>
        <v>12</v>
      </c>
      <c r="I33" s="56">
        <f t="shared" ref="I33:I45" si="28">I$15*MIN(H$5,H$15+1-H33)*(1+H$3)^(H$15-H33)*IF(H33&lt;H$5,H33/H$5,1)</f>
        <v>-4432591.6990571851</v>
      </c>
      <c r="J33" s="54">
        <f t="shared" si="9"/>
        <v>16830922.834863868</v>
      </c>
      <c r="K33" s="63">
        <f t="shared" si="10"/>
        <v>13</v>
      </c>
      <c r="L33" s="56">
        <f t="shared" si="11"/>
        <v>1906362.9830989314</v>
      </c>
      <c r="M33" s="54">
        <f t="shared" si="15"/>
        <v>25488938.71812848</v>
      </c>
      <c r="N33" s="63">
        <f t="shared" si="16"/>
        <v>14</v>
      </c>
      <c r="O33" s="56">
        <f t="shared" si="12"/>
        <v>2692825.1950755906</v>
      </c>
      <c r="P33" s="54">
        <f t="shared" si="17"/>
        <v>2185983.0884613576</v>
      </c>
      <c r="Q33" s="63">
        <f t="shared" si="18"/>
        <v>4</v>
      </c>
      <c r="R33" s="56">
        <f t="shared" si="13"/>
        <v>938928.34900993633</v>
      </c>
      <c r="S33" s="54">
        <f t="shared" si="22"/>
        <v>3037849.6013339497</v>
      </c>
      <c r="T33" s="63">
        <f t="shared" si="23"/>
        <v>5</v>
      </c>
      <c r="U33" s="56">
        <f t="shared" si="19"/>
        <v>1100812.3099319332</v>
      </c>
      <c r="V33" s="54">
        <f t="shared" si="25"/>
        <v>8797451.191637896</v>
      </c>
      <c r="W33" s="63">
        <f t="shared" si="26"/>
        <v>6</v>
      </c>
      <c r="X33" s="55">
        <f t="shared" si="24"/>
        <v>2428078.1684395554</v>
      </c>
      <c r="Y33" s="54">
        <f t="shared" si="5"/>
        <v>20138395.243950296</v>
      </c>
      <c r="Z33" s="63">
        <f t="shared" si="14"/>
        <v>13</v>
      </c>
      <c r="AA33" s="297">
        <f t="shared" si="6"/>
        <v>4634415.3064987622</v>
      </c>
      <c r="AB33" s="63"/>
      <c r="AC33" s="142"/>
      <c r="AD33" s="111"/>
      <c r="AE33" s="73"/>
      <c r="AF33" s="49"/>
      <c r="AO33" s="216">
        <v>500000</v>
      </c>
    </row>
    <row r="34" spans="1:41" s="50" customFormat="1" x14ac:dyDescent="0.25">
      <c r="A34" s="49">
        <f t="shared" si="7"/>
        <v>19</v>
      </c>
      <c r="B34" s="49">
        <f t="shared" si="2"/>
        <v>2033</v>
      </c>
      <c r="C34" s="49">
        <f t="shared" si="0"/>
        <v>2036</v>
      </c>
      <c r="D34" s="54"/>
      <c r="E34" s="63"/>
      <c r="F34" s="56"/>
      <c r="G34" s="54">
        <f t="shared" si="27"/>
        <v>-34151834.197732665</v>
      </c>
      <c r="H34" s="63">
        <f t="shared" si="4"/>
        <v>11</v>
      </c>
      <c r="I34" s="56">
        <f t="shared" si="28"/>
        <v>-4565569.4500289001</v>
      </c>
      <c r="J34" s="54">
        <f t="shared" si="9"/>
        <v>16037130.230177723</v>
      </c>
      <c r="K34" s="63">
        <f t="shared" si="10"/>
        <v>12</v>
      </c>
      <c r="L34" s="56">
        <f t="shared" si="11"/>
        <v>1963553.8725918992</v>
      </c>
      <c r="M34" s="54">
        <f t="shared" si="15"/>
        <v>24487684.387467321</v>
      </c>
      <c r="N34" s="63">
        <f t="shared" si="16"/>
        <v>13</v>
      </c>
      <c r="O34" s="56">
        <f t="shared" si="12"/>
        <v>2773609.9509278582</v>
      </c>
      <c r="P34" s="54">
        <f t="shared" si="17"/>
        <v>1367766.8683752343</v>
      </c>
      <c r="Q34" s="63">
        <f t="shared" si="18"/>
        <v>3</v>
      </c>
      <c r="R34" s="56">
        <f t="shared" si="13"/>
        <v>725322.14961017563</v>
      </c>
      <c r="S34" s="54">
        <f t="shared" si="22"/>
        <v>2111809.9658933533</v>
      </c>
      <c r="T34" s="63">
        <f t="shared" si="23"/>
        <v>4</v>
      </c>
      <c r="U34" s="56">
        <f t="shared" si="19"/>
        <v>907069.34338391293</v>
      </c>
      <c r="V34" s="54">
        <f t="shared" si="25"/>
        <v>6901649.1879088711</v>
      </c>
      <c r="W34" s="63">
        <f t="shared" si="26"/>
        <v>5</v>
      </c>
      <c r="X34" s="55">
        <f t="shared" si="24"/>
        <v>2500920.5134927426</v>
      </c>
      <c r="Y34" s="54">
        <f t="shared" si="5"/>
        <v>16754206.442089839</v>
      </c>
      <c r="Z34" s="63">
        <f t="shared" si="14"/>
        <v>12</v>
      </c>
      <c r="AA34" s="297">
        <f t="shared" si="6"/>
        <v>4304906.3799776882</v>
      </c>
      <c r="AB34" s="63"/>
      <c r="AC34" s="142"/>
      <c r="AD34" s="111"/>
      <c r="AE34" s="73"/>
      <c r="AF34" s="49"/>
      <c r="AO34" s="216">
        <v>500000</v>
      </c>
    </row>
    <row r="35" spans="1:41" s="50" customFormat="1" x14ac:dyDescent="0.25">
      <c r="A35" s="49">
        <f t="shared" si="7"/>
        <v>20</v>
      </c>
      <c r="B35" s="49">
        <f t="shared" si="2"/>
        <v>2034</v>
      </c>
      <c r="C35" s="49">
        <f t="shared" si="0"/>
        <v>2037</v>
      </c>
      <c r="D35" s="54"/>
      <c r="E35" s="63"/>
      <c r="F35" s="56"/>
      <c r="G35" s="54">
        <f t="shared" si="27"/>
        <v>-31819800.830315817</v>
      </c>
      <c r="H35" s="63">
        <f t="shared" si="4"/>
        <v>10</v>
      </c>
      <c r="I35" s="56">
        <f t="shared" si="28"/>
        <v>-4702536.5335297668</v>
      </c>
      <c r="J35" s="54">
        <f t="shared" si="9"/>
        <v>15128613.42706975</v>
      </c>
      <c r="K35" s="63">
        <f t="shared" si="10"/>
        <v>11</v>
      </c>
      <c r="L35" s="56">
        <f t="shared" si="11"/>
        <v>2022460.4887696563</v>
      </c>
      <c r="M35" s="54">
        <f t="shared" si="15"/>
        <v>23332777.852431972</v>
      </c>
      <c r="N35" s="63">
        <f t="shared" si="16"/>
        <v>12</v>
      </c>
      <c r="O35" s="56">
        <f t="shared" si="12"/>
        <v>2856818.2494556941</v>
      </c>
      <c r="P35" s="54">
        <f t="shared" si="17"/>
        <v>713231.48363642243</v>
      </c>
      <c r="Q35" s="63">
        <f t="shared" si="18"/>
        <v>2</v>
      </c>
      <c r="R35" s="56">
        <f t="shared" si="13"/>
        <v>498054.54273232067</v>
      </c>
      <c r="S35" s="54">
        <f t="shared" si="22"/>
        <v>1321356.8388978941</v>
      </c>
      <c r="T35" s="63">
        <f t="shared" si="23"/>
        <v>3</v>
      </c>
      <c r="U35" s="56">
        <f t="shared" si="19"/>
        <v>700711.06776407256</v>
      </c>
      <c r="V35" s="54">
        <f t="shared" si="25"/>
        <v>4797792.3363045026</v>
      </c>
      <c r="W35" s="63">
        <f t="shared" si="26"/>
        <v>4</v>
      </c>
      <c r="X35" s="55">
        <f t="shared" si="24"/>
        <v>2060758.5031180193</v>
      </c>
      <c r="Y35" s="54">
        <f t="shared" si="5"/>
        <v>13473971.108024722</v>
      </c>
      <c r="Z35" s="63">
        <f t="shared" si="14"/>
        <v>11</v>
      </c>
      <c r="AA35" s="297">
        <f t="shared" si="6"/>
        <v>3436266.3183099963</v>
      </c>
      <c r="AB35" s="63"/>
      <c r="AC35" s="142"/>
      <c r="AD35" s="111"/>
      <c r="AE35" s="73"/>
      <c r="AF35" s="49"/>
      <c r="AO35" s="216">
        <v>500000</v>
      </c>
    </row>
    <row r="36" spans="1:41" s="50" customFormat="1" x14ac:dyDescent="0.25">
      <c r="A36" s="49">
        <f t="shared" si="7"/>
        <v>21</v>
      </c>
      <c r="B36" s="49">
        <f t="shared" si="2"/>
        <v>2035</v>
      </c>
      <c r="C36" s="49">
        <f t="shared" si="0"/>
        <v>2038</v>
      </c>
      <c r="D36" s="54"/>
      <c r="E36" s="63"/>
      <c r="F36" s="56"/>
      <c r="G36" s="54">
        <f t="shared" si="27"/>
        <v>-29182845.274342045</v>
      </c>
      <c r="H36" s="63">
        <f t="shared" si="4"/>
        <v>9</v>
      </c>
      <c r="I36" s="56">
        <f t="shared" si="28"/>
        <v>-4843612.6295356601</v>
      </c>
      <c r="J36" s="54">
        <f t="shared" si="9"/>
        <v>14095566.970167605</v>
      </c>
      <c r="K36" s="63">
        <f t="shared" si="10"/>
        <v>10</v>
      </c>
      <c r="L36" s="56">
        <f t="shared" si="11"/>
        <v>2083134.3034327459</v>
      </c>
      <c r="M36" s="54">
        <f t="shared" si="15"/>
        <v>22010956.526679408</v>
      </c>
      <c r="N36" s="63">
        <f t="shared" si="16"/>
        <v>11</v>
      </c>
      <c r="O36" s="56">
        <f t="shared" si="12"/>
        <v>2942522.7969393646</v>
      </c>
      <c r="P36" s="54">
        <f t="shared" si="17"/>
        <v>247966.06249708479</v>
      </c>
      <c r="Q36" s="63">
        <f t="shared" si="18"/>
        <v>1</v>
      </c>
      <c r="R36" s="56">
        <f t="shared" si="13"/>
        <v>256498.08950714517</v>
      </c>
      <c r="S36" s="54">
        <f t="shared" si="22"/>
        <v>689030.65311107179</v>
      </c>
      <c r="T36" s="63">
        <f t="shared" si="23"/>
        <v>2</v>
      </c>
      <c r="U36" s="56">
        <f t="shared" si="19"/>
        <v>481154.93319799658</v>
      </c>
      <c r="V36" s="54">
        <f t="shared" si="25"/>
        <v>3001972.6289652353</v>
      </c>
      <c r="W36" s="63">
        <f t="shared" si="26"/>
        <v>3</v>
      </c>
      <c r="X36" s="55">
        <f t="shared" si="24"/>
        <v>1591935.9436586697</v>
      </c>
      <c r="Y36" s="54">
        <f t="shared" si="5"/>
        <v>10862647.567078359</v>
      </c>
      <c r="Z36" s="63">
        <f t="shared" si="14"/>
        <v>10</v>
      </c>
      <c r="AA36" s="297">
        <f t="shared" si="6"/>
        <v>2511633.4372002617</v>
      </c>
      <c r="AB36" s="63"/>
      <c r="AC36" s="142"/>
      <c r="AD36" s="111"/>
      <c r="AE36" s="73"/>
      <c r="AF36" s="49"/>
      <c r="AO36" s="216">
        <v>500000</v>
      </c>
    </row>
    <row r="37" spans="1:41" s="50" customFormat="1" x14ac:dyDescent="0.25">
      <c r="A37" s="49">
        <f t="shared" si="7"/>
        <v>22</v>
      </c>
      <c r="B37" s="49">
        <f t="shared" si="2"/>
        <v>2036</v>
      </c>
      <c r="C37" s="49">
        <f t="shared" si="0"/>
        <v>2039</v>
      </c>
      <c r="D37" s="54"/>
      <c r="E37" s="63"/>
      <c r="F37" s="56"/>
      <c r="G37" s="54">
        <f t="shared" si="27"/>
        <v>-26215372.581027232</v>
      </c>
      <c r="H37" s="63">
        <f t="shared" si="4"/>
        <v>8</v>
      </c>
      <c r="I37" s="56">
        <f t="shared" si="28"/>
        <v>-4988921.0084217303</v>
      </c>
      <c r="J37" s="54">
        <f t="shared" si="9"/>
        <v>12927445.779378401</v>
      </c>
      <c r="K37" s="63">
        <f t="shared" si="10"/>
        <v>9</v>
      </c>
      <c r="L37" s="56">
        <f t="shared" si="11"/>
        <v>2145628.3325357279</v>
      </c>
      <c r="M37" s="54">
        <f t="shared" si="15"/>
        <v>20507954.234861482</v>
      </c>
      <c r="N37" s="63">
        <f t="shared" si="16"/>
        <v>10</v>
      </c>
      <c r="O37" s="56">
        <f t="shared" si="12"/>
        <v>3030798.4808475459</v>
      </c>
      <c r="P37" s="54"/>
      <c r="Q37" s="63"/>
      <c r="R37" s="56"/>
      <c r="S37" s="54">
        <f t="shared" si="22"/>
        <v>239552.26586553664</v>
      </c>
      <c r="T37" s="63">
        <f t="shared" si="23"/>
        <v>1</v>
      </c>
      <c r="U37" s="56">
        <f t="shared" si="19"/>
        <v>247794.79059696823</v>
      </c>
      <c r="V37" s="54">
        <f t="shared" si="25"/>
        <v>1565399.3684875516</v>
      </c>
      <c r="W37" s="63">
        <f t="shared" si="26"/>
        <v>2</v>
      </c>
      <c r="X37" s="55">
        <f t="shared" si="24"/>
        <v>1093129.3479789533</v>
      </c>
      <c r="Y37" s="54">
        <f t="shared" si="5"/>
        <v>9024979.0675657392</v>
      </c>
      <c r="Z37" s="63">
        <f t="shared" si="14"/>
        <v>9</v>
      </c>
      <c r="AA37" s="297">
        <f t="shared" si="6"/>
        <v>1528429.9435374651</v>
      </c>
      <c r="AB37" s="63"/>
      <c r="AC37" s="142"/>
      <c r="AD37" s="111"/>
      <c r="AE37" s="73"/>
      <c r="AF37" s="49"/>
      <c r="AO37" s="216">
        <v>500000</v>
      </c>
    </row>
    <row r="38" spans="1:41" s="50" customFormat="1" x14ac:dyDescent="0.25">
      <c r="A38" s="49">
        <f t="shared" si="7"/>
        <v>23</v>
      </c>
      <c r="B38" s="49">
        <f t="shared" si="2"/>
        <v>2037</v>
      </c>
      <c r="C38" s="49">
        <f t="shared" si="0"/>
        <v>2040</v>
      </c>
      <c r="D38" s="54"/>
      <c r="E38" s="63"/>
      <c r="F38" s="56"/>
      <c r="G38" s="54">
        <f t="shared" si="27"/>
        <v>-22889868.643304817</v>
      </c>
      <c r="H38" s="63">
        <f t="shared" si="4"/>
        <v>7</v>
      </c>
      <c r="I38" s="56">
        <f t="shared" si="28"/>
        <v>-5138588.6386743821</v>
      </c>
      <c r="J38" s="54">
        <f t="shared" si="9"/>
        <v>11612911.778872926</v>
      </c>
      <c r="K38" s="63">
        <f t="shared" si="10"/>
        <v>8</v>
      </c>
      <c r="L38" s="56">
        <f t="shared" si="11"/>
        <v>2209997.1825118</v>
      </c>
      <c r="M38" s="54">
        <f t="shared" si="15"/>
        <v>18808428.705155734</v>
      </c>
      <c r="N38" s="63">
        <f t="shared" si="16"/>
        <v>9</v>
      </c>
      <c r="O38" s="56">
        <f t="shared" si="12"/>
        <v>3121722.4352729716</v>
      </c>
      <c r="P38" s="54"/>
      <c r="Q38" s="63"/>
      <c r="R38" s="56"/>
      <c r="S38" s="361"/>
      <c r="T38" s="63"/>
      <c r="U38" s="56"/>
      <c r="V38" s="54">
        <f t="shared" si="25"/>
        <v>544235.53438807535</v>
      </c>
      <c r="W38" s="63">
        <f t="shared" si="26"/>
        <v>1</v>
      </c>
      <c r="X38" s="55">
        <f t="shared" si="24"/>
        <v>562961.61420916102</v>
      </c>
      <c r="Y38" s="54">
        <f t="shared" si="5"/>
        <v>8075707.375111918</v>
      </c>
      <c r="Z38" s="63">
        <f t="shared" si="14"/>
        <v>8</v>
      </c>
      <c r="AA38" s="297">
        <f t="shared" si="6"/>
        <v>756092.59331955051</v>
      </c>
      <c r="AB38" s="63"/>
      <c r="AC38" s="142"/>
      <c r="AD38" s="111"/>
      <c r="AE38" s="73"/>
      <c r="AF38" s="49"/>
      <c r="AO38" s="216">
        <v>500000</v>
      </c>
    </row>
    <row r="39" spans="1:41" s="50" customFormat="1" x14ac:dyDescent="0.25">
      <c r="A39" s="49">
        <f t="shared" si="7"/>
        <v>24</v>
      </c>
      <c r="B39" s="49">
        <f t="shared" si="2"/>
        <v>2038</v>
      </c>
      <c r="C39" s="49">
        <f t="shared" si="0"/>
        <v>2041</v>
      </c>
      <c r="D39" s="54"/>
      <c r="E39" s="63"/>
      <c r="F39" s="56"/>
      <c r="G39" s="54">
        <f t="shared" si="27"/>
        <v>-19176762.029390007</v>
      </c>
      <c r="H39" s="63">
        <f t="shared" si="4"/>
        <v>6</v>
      </c>
      <c r="I39" s="56">
        <f t="shared" si="28"/>
        <v>-5292746.2978346124</v>
      </c>
      <c r="J39" s="54">
        <f t="shared" si="9"/>
        <v>10139776.742180206</v>
      </c>
      <c r="K39" s="63">
        <f t="shared" si="10"/>
        <v>7</v>
      </c>
      <c r="L39" s="56">
        <f t="shared" si="11"/>
        <v>2276297.097987154</v>
      </c>
      <c r="M39" s="54">
        <f t="shared" si="15"/>
        <v>16895883.918586202</v>
      </c>
      <c r="N39" s="63">
        <f t="shared" si="16"/>
        <v>8</v>
      </c>
      <c r="O39" s="56">
        <f t="shared" si="12"/>
        <v>3215374.1083311611</v>
      </c>
      <c r="P39" s="54"/>
      <c r="Q39" s="63"/>
      <c r="R39" s="56"/>
      <c r="S39" s="361"/>
      <c r="T39" s="63"/>
      <c r="U39" s="56"/>
      <c r="V39" s="361"/>
      <c r="W39" s="63"/>
      <c r="X39" s="55"/>
      <c r="Y39" s="54">
        <f t="shared" si="5"/>
        <v>7858898.6313764006</v>
      </c>
      <c r="Z39" s="63">
        <f t="shared" si="14"/>
        <v>7</v>
      </c>
      <c r="AA39" s="297">
        <f t="shared" si="6"/>
        <v>198924.90848370269</v>
      </c>
      <c r="AB39" s="63"/>
      <c r="AC39" s="142"/>
      <c r="AD39" s="111"/>
      <c r="AE39" s="73"/>
      <c r="AF39" s="49"/>
      <c r="AO39" s="216">
        <v>500000</v>
      </c>
    </row>
    <row r="40" spans="1:41" s="50" customFormat="1" x14ac:dyDescent="0.25">
      <c r="A40" s="49">
        <f t="shared" si="7"/>
        <v>25</v>
      </c>
      <c r="B40" s="49">
        <f t="shared" si="2"/>
        <v>2039</v>
      </c>
      <c r="C40" s="49">
        <f t="shared" si="0"/>
        <v>2042</v>
      </c>
      <c r="D40" s="54"/>
      <c r="E40" s="63"/>
      <c r="F40" s="56"/>
      <c r="G40" s="54">
        <f t="shared" si="27"/>
        <v>-15044276.029932778</v>
      </c>
      <c r="H40" s="63">
        <f t="shared" si="4"/>
        <v>5</v>
      </c>
      <c r="I40" s="56">
        <f t="shared" si="28"/>
        <v>-5451528.6867696512</v>
      </c>
      <c r="J40" s="54">
        <f t="shared" si="9"/>
        <v>8494941.0870825816</v>
      </c>
      <c r="K40" s="63">
        <f t="shared" si="10"/>
        <v>6</v>
      </c>
      <c r="L40" s="56">
        <f t="shared" si="11"/>
        <v>2344586.0109267686</v>
      </c>
      <c r="M40" s="54">
        <f t="shared" si="15"/>
        <v>14752586.953078892</v>
      </c>
      <c r="N40" s="63">
        <f t="shared" si="16"/>
        <v>7</v>
      </c>
      <c r="O40" s="56">
        <f t="shared" si="12"/>
        <v>3311835.3315810962</v>
      </c>
      <c r="P40" s="54"/>
      <c r="Q40" s="63"/>
      <c r="R40" s="56"/>
      <c r="S40" s="361"/>
      <c r="T40" s="63"/>
      <c r="U40" s="56"/>
      <c r="V40" s="361"/>
      <c r="W40" s="63"/>
      <c r="X40" s="55"/>
      <c r="Y40" s="54">
        <f t="shared" si="5"/>
        <v>8203252.0102286953</v>
      </c>
      <c r="Z40" s="63">
        <f t="shared" si="14"/>
        <v>6</v>
      </c>
      <c r="AA40" s="297">
        <f t="shared" si="6"/>
        <v>204892.65573821357</v>
      </c>
      <c r="AB40" s="63"/>
      <c r="AC40" s="142"/>
      <c r="AD40" s="111"/>
      <c r="AE40" s="73"/>
      <c r="AF40" s="49"/>
      <c r="AO40" s="216">
        <v>500000</v>
      </c>
    </row>
    <row r="41" spans="1:41" s="50" customFormat="1" x14ac:dyDescent="0.25">
      <c r="A41" s="49">
        <f t="shared" si="7"/>
        <v>26</v>
      </c>
      <c r="B41" s="49">
        <f t="shared" si="2"/>
        <v>2040</v>
      </c>
      <c r="C41" s="49">
        <f t="shared" si="0"/>
        <v>2043</v>
      </c>
      <c r="D41" s="54"/>
      <c r="E41" s="63"/>
      <c r="F41" s="56"/>
      <c r="G41" s="54">
        <f t="shared" si="27"/>
        <v>-10458270.230268106</v>
      </c>
      <c r="H41" s="63">
        <f t="shared" si="4"/>
        <v>4</v>
      </c>
      <c r="I41" s="56">
        <f t="shared" si="28"/>
        <v>-4492059.6378981937</v>
      </c>
      <c r="J41" s="54">
        <f t="shared" si="9"/>
        <v>6664328.3353166161</v>
      </c>
      <c r="K41" s="65">
        <f t="shared" si="10"/>
        <v>5</v>
      </c>
      <c r="L41" s="56">
        <f t="shared" si="11"/>
        <v>2414923.5912545715</v>
      </c>
      <c r="M41" s="54">
        <f t="shared" si="15"/>
        <v>12359478.934791818</v>
      </c>
      <c r="N41" s="63">
        <f t="shared" si="16"/>
        <v>6</v>
      </c>
      <c r="O41" s="56">
        <f t="shared" si="12"/>
        <v>3411190.3915285286</v>
      </c>
      <c r="P41" s="54"/>
      <c r="Q41" s="63"/>
      <c r="R41" s="56"/>
      <c r="S41" s="361"/>
      <c r="T41" s="63"/>
      <c r="U41" s="56"/>
      <c r="V41" s="361"/>
      <c r="W41" s="63"/>
      <c r="X41" s="55"/>
      <c r="Y41" s="54">
        <f t="shared" si="5"/>
        <v>8565537.0398403294</v>
      </c>
      <c r="Z41" s="63">
        <f t="shared" si="14"/>
        <v>5</v>
      </c>
      <c r="AA41" s="297">
        <f t="shared" si="6"/>
        <v>1334054.3448849064</v>
      </c>
      <c r="AB41" s="63"/>
      <c r="AC41" s="142"/>
      <c r="AD41" s="111"/>
      <c r="AE41" s="73"/>
      <c r="AF41" s="49"/>
      <c r="AO41" s="216">
        <v>500000</v>
      </c>
    </row>
    <row r="42" spans="1:41" s="50" customFormat="1" x14ac:dyDescent="0.25">
      <c r="A42" s="49">
        <f t="shared" si="7"/>
        <v>27</v>
      </c>
      <c r="B42" s="49">
        <f t="shared" si="2"/>
        <v>2041</v>
      </c>
      <c r="C42" s="49">
        <f t="shared" si="0"/>
        <v>2044</v>
      </c>
      <c r="D42" s="54"/>
      <c r="E42" s="63"/>
      <c r="F42" s="56"/>
      <c r="G42" s="54">
        <f t="shared" si="27"/>
        <v>-6543726.5260566594</v>
      </c>
      <c r="H42" s="63">
        <f t="shared" si="4"/>
        <v>3</v>
      </c>
      <c r="I42" s="56">
        <f t="shared" si="28"/>
        <v>-3470116.070276354</v>
      </c>
      <c r="J42" s="54">
        <f t="shared" si="9"/>
        <v>4632814.9320911812</v>
      </c>
      <c r="K42" s="63">
        <f t="shared" si="10"/>
        <v>4</v>
      </c>
      <c r="L42" s="56">
        <f t="shared" si="11"/>
        <v>1989897.0391937674</v>
      </c>
      <c r="M42" s="54">
        <f t="shared" si="15"/>
        <v>9696079.682074571</v>
      </c>
      <c r="N42" s="65">
        <f t="shared" si="16"/>
        <v>5</v>
      </c>
      <c r="O42" s="56">
        <f t="shared" si="12"/>
        <v>3513526.1032743845</v>
      </c>
      <c r="P42" s="54"/>
      <c r="Q42" s="65"/>
      <c r="R42" s="56"/>
      <c r="S42" s="361"/>
      <c r="T42" s="63"/>
      <c r="U42" s="56"/>
      <c r="V42" s="361"/>
      <c r="W42" s="63"/>
      <c r="X42" s="55"/>
      <c r="Y42" s="54">
        <f t="shared" si="5"/>
        <v>7785168.0881090928</v>
      </c>
      <c r="Z42" s="63">
        <f t="shared" si="14"/>
        <v>4</v>
      </c>
      <c r="AA42" s="297">
        <f t="shared" si="6"/>
        <v>2033307.0721917979</v>
      </c>
      <c r="AB42" s="63"/>
      <c r="AC42" s="142"/>
      <c r="AD42" s="111"/>
      <c r="AE42" s="73"/>
      <c r="AF42" s="49"/>
      <c r="AO42" s="216">
        <v>500000</v>
      </c>
    </row>
    <row r="43" spans="1:41" s="50" customFormat="1" x14ac:dyDescent="0.25">
      <c r="A43" s="49">
        <f t="shared" si="7"/>
        <v>28</v>
      </c>
      <c r="B43" s="49">
        <f t="shared" si="2"/>
        <v>2042</v>
      </c>
      <c r="C43" s="49">
        <f t="shared" si="0"/>
        <v>2045</v>
      </c>
      <c r="D43" s="54"/>
      <c r="E43" s="63"/>
      <c r="F43" s="56"/>
      <c r="G43" s="54">
        <f t="shared" si="27"/>
        <v>-3412271.4086755356</v>
      </c>
      <c r="H43" s="63">
        <f t="shared" si="4"/>
        <v>2</v>
      </c>
      <c r="I43" s="56">
        <f t="shared" si="28"/>
        <v>-2382813.0349230967</v>
      </c>
      <c r="J43" s="54">
        <f t="shared" si="9"/>
        <v>2898746.4746987424</v>
      </c>
      <c r="K43" s="63">
        <f t="shared" si="10"/>
        <v>3</v>
      </c>
      <c r="L43" s="56">
        <f t="shared" si="11"/>
        <v>1537195.462777185</v>
      </c>
      <c r="M43" s="54">
        <f t="shared" si="15"/>
        <v>6740385.5983225368</v>
      </c>
      <c r="N43" s="63">
        <f t="shared" si="16"/>
        <v>4</v>
      </c>
      <c r="O43" s="56">
        <f t="shared" si="12"/>
        <v>2895145.5090980935</v>
      </c>
      <c r="P43" s="54"/>
      <c r="Q43" s="63"/>
      <c r="R43" s="56"/>
      <c r="S43" s="306"/>
      <c r="T43" s="65"/>
      <c r="U43" s="56"/>
      <c r="V43" s="361"/>
      <c r="W43" s="63"/>
      <c r="X43" s="55"/>
      <c r="Y43" s="54">
        <f t="shared" si="5"/>
        <v>6226860.6643457431</v>
      </c>
      <c r="Z43" s="63">
        <f t="shared" si="14"/>
        <v>3</v>
      </c>
      <c r="AA43" s="297">
        <f t="shared" si="6"/>
        <v>2049527.9369521819</v>
      </c>
      <c r="AB43" s="63"/>
      <c r="AC43" s="142"/>
      <c r="AD43" s="111"/>
      <c r="AE43" s="73"/>
      <c r="AF43" s="49"/>
      <c r="AO43" s="216">
        <v>500000</v>
      </c>
    </row>
    <row r="44" spans="1:41" x14ac:dyDescent="0.25">
      <c r="A44" s="49">
        <f t="shared" si="7"/>
        <v>29</v>
      </c>
      <c r="B44" s="49">
        <f t="shared" si="2"/>
        <v>2043</v>
      </c>
      <c r="C44" s="49">
        <f t="shared" si="0"/>
        <v>2046</v>
      </c>
      <c r="D44" s="54"/>
      <c r="E44" s="63"/>
      <c r="F44" s="56"/>
      <c r="G44" s="54">
        <f t="shared" si="27"/>
        <v>-1186329.438328661</v>
      </c>
      <c r="H44" s="63">
        <f t="shared" si="4"/>
        <v>1</v>
      </c>
      <c r="I44" s="56">
        <f t="shared" si="28"/>
        <v>-1227148.7129853945</v>
      </c>
      <c r="J44" s="54">
        <f t="shared" si="9"/>
        <v>1511571.3771391648</v>
      </c>
      <c r="K44" s="63">
        <f t="shared" si="10"/>
        <v>2</v>
      </c>
      <c r="L44" s="56">
        <f t="shared" si="11"/>
        <v>1055540.8844403338</v>
      </c>
      <c r="M44" s="54">
        <f t="shared" si="15"/>
        <v>4217450.7891313769</v>
      </c>
      <c r="N44" s="63">
        <f t="shared" si="16"/>
        <v>3</v>
      </c>
      <c r="O44" s="56">
        <f t="shared" si="12"/>
        <v>2236499.9057782763</v>
      </c>
      <c r="P44" s="54"/>
      <c r="Q44" s="63"/>
      <c r="R44" s="56"/>
      <c r="S44" s="361"/>
      <c r="T44" s="63"/>
      <c r="U44" s="56"/>
      <c r="V44" s="306"/>
      <c r="W44" s="65"/>
      <c r="X44" s="55"/>
      <c r="Y44" s="54">
        <f t="shared" si="5"/>
        <v>4542692.7279418809</v>
      </c>
      <c r="Z44" s="63">
        <f t="shared" si="14"/>
        <v>2</v>
      </c>
      <c r="AA44" s="297">
        <f t="shared" si="6"/>
        <v>2064892.0772332156</v>
      </c>
      <c r="AB44" s="63"/>
      <c r="AC44" s="142"/>
      <c r="AD44" s="111"/>
      <c r="AO44" s="216">
        <v>500000</v>
      </c>
    </row>
    <row r="45" spans="1:41" x14ac:dyDescent="0.25">
      <c r="A45" s="49">
        <f t="shared" si="7"/>
        <v>30</v>
      </c>
      <c r="B45" s="49">
        <f t="shared" si="2"/>
        <v>2044</v>
      </c>
      <c r="C45" s="49">
        <f t="shared" si="0"/>
        <v>2047</v>
      </c>
      <c r="D45" s="54"/>
      <c r="E45" s="63"/>
      <c r="F45" s="56"/>
      <c r="G45" s="54">
        <f t="shared" si="27"/>
        <v>-2.7404166758060455E-7</v>
      </c>
      <c r="H45" s="63">
        <f t="shared" si="4"/>
        <v>0</v>
      </c>
      <c r="I45" s="56">
        <f t="shared" si="28"/>
        <v>0</v>
      </c>
      <c r="J45" s="54">
        <f t="shared" si="9"/>
        <v>525521.39266414335</v>
      </c>
      <c r="K45" s="63">
        <f t="shared" si="10"/>
        <v>1</v>
      </c>
      <c r="L45" s="56">
        <f t="shared" si="11"/>
        <v>543603.55548677186</v>
      </c>
      <c r="M45" s="54">
        <f t="shared" si="15"/>
        <v>2199218.853041112</v>
      </c>
      <c r="N45" s="63">
        <f t="shared" si="16"/>
        <v>2</v>
      </c>
      <c r="O45" s="56">
        <f t="shared" si="12"/>
        <v>1535729.9353010834</v>
      </c>
      <c r="P45" s="54"/>
      <c r="Q45" s="63"/>
      <c r="R45" s="56"/>
      <c r="S45" s="361"/>
      <c r="T45" s="63"/>
      <c r="U45" s="56"/>
      <c r="V45" s="361"/>
      <c r="W45" s="63"/>
      <c r="X45" s="55"/>
      <c r="Y45" s="54">
        <f t="shared" si="5"/>
        <v>2724740.2457049815</v>
      </c>
      <c r="Z45" s="63">
        <f t="shared" si="14"/>
        <v>1</v>
      </c>
      <c r="AA45" s="297">
        <f t="shared" si="6"/>
        <v>2079333.4907878553</v>
      </c>
      <c r="AB45" s="63"/>
      <c r="AC45" s="142"/>
      <c r="AD45" s="111"/>
      <c r="AO45" s="216">
        <v>500000</v>
      </c>
    </row>
    <row r="46" spans="1:41" ht="15.75" thickBot="1" x14ac:dyDescent="0.3">
      <c r="C46" s="56"/>
      <c r="D46" s="57"/>
      <c r="E46" s="68"/>
      <c r="F46" s="59"/>
      <c r="G46" s="57"/>
      <c r="H46" s="68"/>
      <c r="I46" s="58"/>
      <c r="J46" s="59"/>
      <c r="K46" s="68"/>
      <c r="L46" s="59"/>
      <c r="M46" s="54">
        <f t="shared" si="15"/>
        <v>764592.77537442627</v>
      </c>
      <c r="N46" s="68">
        <f t="shared" si="16"/>
        <v>1</v>
      </c>
      <c r="O46" s="58">
        <f t="shared" si="12"/>
        <v>790900.91668005788</v>
      </c>
      <c r="P46" s="57"/>
      <c r="Q46" s="68"/>
      <c r="R46" s="59"/>
      <c r="S46" s="361"/>
      <c r="T46" s="63"/>
      <c r="U46" s="56"/>
      <c r="V46" s="361"/>
      <c r="W46" s="63"/>
      <c r="X46" s="55"/>
      <c r="Y46" s="54">
        <f>D46+G46+J46+M46+P46+S46+V46</f>
        <v>764592.77537442627</v>
      </c>
      <c r="Z46" s="63">
        <f t="shared" si="14"/>
        <v>0</v>
      </c>
      <c r="AA46" s="297">
        <f t="shared" si="6"/>
        <v>790900.91668005788</v>
      </c>
      <c r="AB46" s="146"/>
      <c r="AC46" s="147"/>
      <c r="AD46" s="52"/>
    </row>
    <row r="47" spans="1:41" x14ac:dyDescent="0.25">
      <c r="C47" s="47"/>
      <c r="S47" s="325"/>
      <c r="T47" s="68"/>
      <c r="U47" s="59"/>
      <c r="V47" s="361"/>
      <c r="W47" s="63"/>
      <c r="X47" s="55"/>
      <c r="Y47" s="401"/>
      <c r="Z47" s="63"/>
      <c r="AA47" s="297"/>
      <c r="AB47" s="47"/>
    </row>
    <row r="48" spans="1:41" x14ac:dyDescent="0.25">
      <c r="B48" s="215">
        <v>0</v>
      </c>
      <c r="C48" s="52"/>
      <c r="D48" s="56"/>
      <c r="E48" s="49" t="s">
        <v>152</v>
      </c>
      <c r="V48" s="325"/>
      <c r="W48" s="68"/>
      <c r="X48" s="58"/>
      <c r="Y48" s="402"/>
      <c r="Z48" s="325"/>
      <c r="AA48" s="384"/>
      <c r="AB48" s="48"/>
      <c r="AC48" s="48"/>
      <c r="AD48" s="48"/>
    </row>
    <row r="49" spans="2:28" x14ac:dyDescent="0.25">
      <c r="B49" s="215">
        <v>-1</v>
      </c>
      <c r="C49" s="52"/>
      <c r="D49" s="274"/>
      <c r="E49" s="49" t="s">
        <v>153</v>
      </c>
      <c r="Y49" s="49" t="s">
        <v>81</v>
      </c>
      <c r="AA49" s="47">
        <f>SUM(AA16:AA48)</f>
        <v>424260694.28099871</v>
      </c>
      <c r="AB49" s="49"/>
    </row>
    <row r="50" spans="2:28" x14ac:dyDescent="0.25">
      <c r="B50" s="215">
        <v>1</v>
      </c>
      <c r="C50" s="52"/>
      <c r="D50" s="56"/>
      <c r="E50" s="49" t="s">
        <v>154</v>
      </c>
      <c r="Y50" s="49" t="s">
        <v>86</v>
      </c>
      <c r="AA50" s="48">
        <f>NPV(0.03,AA16:AA48)</f>
        <v>312421411.84936076</v>
      </c>
      <c r="AB50" s="49"/>
    </row>
    <row r="51" spans="2:28" x14ac:dyDescent="0.25">
      <c r="AB51" s="49"/>
    </row>
    <row r="52" spans="2:28" x14ac:dyDescent="0.25">
      <c r="AB52" s="49"/>
    </row>
    <row r="53" spans="2:28" x14ac:dyDescent="0.25">
      <c r="AB53" s="47"/>
    </row>
  </sheetData>
  <mergeCells count="10">
    <mergeCell ref="AF5:AK5"/>
    <mergeCell ref="Y11:AA11"/>
    <mergeCell ref="D12:F12"/>
    <mergeCell ref="G12:I12"/>
    <mergeCell ref="J12:L12"/>
    <mergeCell ref="M12:O12"/>
    <mergeCell ref="Y12:AA12"/>
    <mergeCell ref="P12:R12"/>
    <mergeCell ref="S12:U12"/>
    <mergeCell ref="V12:X12"/>
  </mergeCells>
  <conditionalFormatting sqref="AC14:AD45">
    <cfRule type="iconSet" priority="58">
      <iconSet>
        <cfvo type="percent" val="0"/>
        <cfvo type="num" val="0.7"/>
        <cfvo type="num" val="0.8"/>
      </iconSet>
    </cfRule>
  </conditionalFormatting>
  <conditionalFormatting sqref="D17">
    <cfRule type="cellIs" dxfId="188" priority="28" operator="greaterThanOrEqual">
      <formula>D16</formula>
    </cfRule>
    <cfRule type="cellIs" dxfId="187" priority="29" operator="greaterThan">
      <formula>D$16</formula>
    </cfRule>
    <cfRule type="cellIs" dxfId="186" priority="30" operator="lessThanOrEqual">
      <formula>D$16</formula>
    </cfRule>
  </conditionalFormatting>
  <conditionalFormatting sqref="D33">
    <cfRule type="cellIs" dxfId="185" priority="52" operator="greaterThanOrEqual">
      <formula>D32</formula>
    </cfRule>
    <cfRule type="cellIs" dxfId="184" priority="53" operator="greaterThan">
      <formula>D$16</formula>
    </cfRule>
    <cfRule type="cellIs" dxfId="183" priority="54" operator="lessThanOrEqual">
      <formula>D$16</formula>
    </cfRule>
  </conditionalFormatting>
  <conditionalFormatting sqref="D48">
    <cfRule type="cellIs" dxfId="182" priority="49" operator="greaterThanOrEqual">
      <formula>B48</formula>
    </cfRule>
    <cfRule type="cellIs" dxfId="181" priority="50" operator="greaterThan">
      <formula>B49</formula>
    </cfRule>
    <cfRule type="cellIs" dxfId="180" priority="51" operator="lessThanOrEqual">
      <formula>51</formula>
    </cfRule>
  </conditionalFormatting>
  <conditionalFormatting sqref="D18:D32">
    <cfRule type="cellIs" dxfId="179" priority="25" operator="greaterThanOrEqual">
      <formula>D17</formula>
    </cfRule>
    <cfRule type="cellIs" dxfId="178" priority="26" operator="greaterThan">
      <formula>D$16</formula>
    </cfRule>
    <cfRule type="cellIs" dxfId="177" priority="27" operator="lessThanOrEqual">
      <formula>D$16</formula>
    </cfRule>
  </conditionalFormatting>
  <conditionalFormatting sqref="Y17:Y36">
    <cfRule type="cellIs" dxfId="176" priority="40" operator="greaterThanOrEqual">
      <formula>Y16</formula>
    </cfRule>
    <cfRule type="cellIs" dxfId="175" priority="41" operator="greaterThan">
      <formula>Y$16</formula>
    </cfRule>
    <cfRule type="cellIs" dxfId="174" priority="42" operator="lessThanOrEqual">
      <formula>Y$16</formula>
    </cfRule>
  </conditionalFormatting>
  <conditionalFormatting sqref="D50">
    <cfRule type="cellIs" dxfId="173" priority="62" operator="greaterThanOrEqual">
      <formula>B50</formula>
    </cfRule>
    <cfRule type="cellIs" dxfId="172" priority="63" operator="greaterThan">
      <formula>D48</formula>
    </cfRule>
    <cfRule type="cellIs" dxfId="171" priority="64" operator="lessThanOrEqual">
      <formula>51</formula>
    </cfRule>
  </conditionalFormatting>
  <conditionalFormatting sqref="G16:G45">
    <cfRule type="cellIs" dxfId="170" priority="22" operator="greaterThanOrEqual">
      <formula>G15</formula>
    </cfRule>
    <cfRule type="cellIs" dxfId="169" priority="23" operator="greaterThan">
      <formula>G$15</formula>
    </cfRule>
    <cfRule type="cellIs" dxfId="168" priority="24" operator="lessThanOrEqual">
      <formula>G$15</formula>
    </cfRule>
  </conditionalFormatting>
  <conditionalFormatting sqref="J17:J45">
    <cfRule type="cellIs" dxfId="167" priority="19" operator="greaterThanOrEqual">
      <formula>J16</formula>
    </cfRule>
    <cfRule type="cellIs" dxfId="166" priority="20" operator="greaterThan">
      <formula>J$16</formula>
    </cfRule>
    <cfRule type="cellIs" dxfId="165" priority="21" operator="lessThanOrEqual">
      <formula>J$16</formula>
    </cfRule>
  </conditionalFormatting>
  <conditionalFormatting sqref="M18:M46">
    <cfRule type="cellIs" dxfId="164" priority="16" operator="greaterThanOrEqual">
      <formula>M17</formula>
    </cfRule>
    <cfRule type="cellIs" dxfId="163" priority="17" operator="greaterThan">
      <formula>M$16</formula>
    </cfRule>
    <cfRule type="cellIs" dxfId="162" priority="18" operator="lessThanOrEqual">
      <formula>M$16</formula>
    </cfRule>
  </conditionalFormatting>
  <conditionalFormatting sqref="P18:P46">
    <cfRule type="cellIs" dxfId="161" priority="13" operator="greaterThanOrEqual">
      <formula>P17</formula>
    </cfRule>
    <cfRule type="cellIs" dxfId="160" priority="14" operator="greaterThan">
      <formula>P$16</formula>
    </cfRule>
    <cfRule type="cellIs" dxfId="159" priority="15" operator="lessThanOrEqual">
      <formula>P$16</formula>
    </cfRule>
  </conditionalFormatting>
  <conditionalFormatting sqref="S20:S37">
    <cfRule type="cellIs" dxfId="158" priority="7" operator="greaterThanOrEqual">
      <formula>S19</formula>
    </cfRule>
    <cfRule type="cellIs" dxfId="157" priority="8" operator="greaterThan">
      <formula>S$16</formula>
    </cfRule>
    <cfRule type="cellIs" dxfId="156" priority="9" operator="lessThanOrEqual">
      <formula>S$16</formula>
    </cfRule>
  </conditionalFormatting>
  <conditionalFormatting sqref="S19">
    <cfRule type="cellIs" dxfId="155" priority="10" operator="greaterThanOrEqual">
      <formula>S18</formula>
    </cfRule>
    <cfRule type="cellIs" dxfId="154" priority="11" operator="greaterThan">
      <formula>S$16</formula>
    </cfRule>
    <cfRule type="cellIs" dxfId="153" priority="12" operator="lessThanOrEqual">
      <formula>S$16</formula>
    </cfRule>
  </conditionalFormatting>
  <conditionalFormatting sqref="V20:V38">
    <cfRule type="cellIs" dxfId="152" priority="4" operator="greaterThanOrEqual">
      <formula>V19</formula>
    </cfRule>
    <cfRule type="cellIs" dxfId="151" priority="5" operator="greaterThan">
      <formula>V$19</formula>
    </cfRule>
    <cfRule type="cellIs" dxfId="150" priority="6" operator="lessThanOrEqual">
      <formula>V$19</formula>
    </cfRule>
  </conditionalFormatting>
  <conditionalFormatting sqref="Y37:Y46">
    <cfRule type="cellIs" dxfId="149" priority="1" operator="greaterThanOrEqual">
      <formula>Y36</formula>
    </cfRule>
    <cfRule type="cellIs" dxfId="148" priority="2" operator="greaterThan">
      <formula>Y$19</formula>
    </cfRule>
    <cfRule type="cellIs" dxfId="147" priority="3" operator="lessThanOrEqual">
      <formula>Y$19</formula>
    </cfRule>
  </conditionalFormatting>
  <pageMargins left="0.25" right="0.25" top="0.25" bottom="0.25" header="0.3" footer="0.3"/>
  <pageSetup scale="45" orientation="landscape" r:id="rId1"/>
  <headerFooter differentFirst="1">
    <oddFooter>&amp;R&amp;P</oddFooter>
  </headerFooter>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58"/>
  <sheetViews>
    <sheetView topLeftCell="B1" workbookViewId="0">
      <selection activeCell="N42" sqref="N42"/>
    </sheetView>
  </sheetViews>
  <sheetFormatPr defaultRowHeight="15" x14ac:dyDescent="0.25"/>
  <cols>
    <col min="1" max="1" width="3.5703125" style="49" customWidth="1"/>
    <col min="2" max="2" width="5" style="49" bestFit="1" customWidth="1"/>
    <col min="3" max="3" width="15" customWidth="1"/>
    <col min="4" max="4" width="6.28515625" bestFit="1" customWidth="1"/>
    <col min="5" max="5" width="12.28515625" bestFit="1" customWidth="1"/>
    <col min="6" max="6" width="13" bestFit="1" customWidth="1"/>
    <col min="7" max="7" width="6.28515625" bestFit="1" customWidth="1"/>
    <col min="8" max="8" width="10.85546875" bestFit="1" customWidth="1"/>
    <col min="9" max="9" width="14" bestFit="1" customWidth="1"/>
    <col min="10" max="10" width="6.28515625" bestFit="1" customWidth="1"/>
    <col min="11" max="11" width="11.28515625" bestFit="1" customWidth="1"/>
    <col min="12" max="12" width="14" bestFit="1" customWidth="1"/>
    <col min="13" max="13" width="8.42578125" customWidth="1"/>
    <col min="14" max="14" width="11.5703125" bestFit="1" customWidth="1"/>
    <col min="15" max="15" width="15.140625" bestFit="1" customWidth="1"/>
    <col min="16" max="16" width="6.28515625" bestFit="1" customWidth="1"/>
    <col min="17" max="17" width="13.7109375" bestFit="1" customWidth="1"/>
    <col min="18" max="18" width="14.28515625" style="50" hidden="1" customWidth="1"/>
    <col min="19" max="19" width="10.42578125" customWidth="1"/>
    <col min="20" max="20" width="0.7109375" customWidth="1"/>
    <col min="28" max="28" width="6.7109375" customWidth="1"/>
  </cols>
  <sheetData>
    <row r="1" spans="1:19" s="49" customFormat="1" ht="15.75" thickBot="1" x14ac:dyDescent="0.3">
      <c r="R1" s="50"/>
    </row>
    <row r="2" spans="1:19" s="49" customFormat="1" ht="16.5" thickTop="1" thickBot="1" x14ac:dyDescent="0.3">
      <c r="L2" s="246" t="s">
        <v>141</v>
      </c>
      <c r="M2" s="244">
        <v>7.4999999999999997E-2</v>
      </c>
      <c r="R2" s="50"/>
    </row>
    <row r="3" spans="1:19" s="49" customFormat="1" ht="16.5" thickTop="1" thickBot="1" x14ac:dyDescent="0.3">
      <c r="L3" s="247" t="s">
        <v>142</v>
      </c>
      <c r="M3" s="244">
        <v>0.03</v>
      </c>
      <c r="R3" s="50"/>
    </row>
    <row r="4" spans="1:19" s="49" customFormat="1" ht="15.75" thickTop="1" x14ac:dyDescent="0.25">
      <c r="L4" s="248"/>
      <c r="M4" s="250"/>
      <c r="R4" s="50"/>
    </row>
    <row r="5" spans="1:19" s="49" customFormat="1" x14ac:dyDescent="0.25">
      <c r="L5" s="248" t="s">
        <v>143</v>
      </c>
      <c r="M5" s="250">
        <v>5</v>
      </c>
      <c r="R5" s="50"/>
    </row>
    <row r="6" spans="1:19" s="49" customFormat="1" x14ac:dyDescent="0.25">
      <c r="L6" s="248" t="s">
        <v>144</v>
      </c>
      <c r="M6" s="251">
        <f>M16+1-M5</f>
        <v>26</v>
      </c>
      <c r="R6" s="50"/>
    </row>
    <row r="7" spans="1:19" s="49" customFormat="1" x14ac:dyDescent="0.25">
      <c r="L7" s="248" t="s">
        <v>145</v>
      </c>
      <c r="M7" s="252">
        <f>1/(-PMT((1+M2)/(1+M3)-1,M5,1,0,1))</f>
        <v>4.5985546446254109</v>
      </c>
      <c r="R7" s="50"/>
    </row>
    <row r="8" spans="1:19" s="49" customFormat="1" ht="26.25" x14ac:dyDescent="0.4">
      <c r="C8" s="214" t="s">
        <v>129</v>
      </c>
      <c r="L8" s="249" t="s">
        <v>146</v>
      </c>
      <c r="M8" s="253">
        <f>1/(-PMT((1+M2)/(1+M3)-1,M6,1,0,1)*(1+M2)^0.5)</f>
        <v>15.461009016959615</v>
      </c>
      <c r="R8" s="50"/>
    </row>
    <row r="9" spans="1:19" s="49" customFormat="1" ht="15.75" thickBot="1" x14ac:dyDescent="0.3">
      <c r="R9" s="50"/>
    </row>
    <row r="10" spans="1:19" ht="19.5" thickBot="1" x14ac:dyDescent="0.35">
      <c r="A10"/>
      <c r="C10" s="618" t="s">
        <v>122</v>
      </c>
      <c r="D10" s="619"/>
      <c r="E10" s="619"/>
      <c r="F10" s="619"/>
      <c r="G10" s="619"/>
      <c r="H10" s="619"/>
      <c r="I10" s="619"/>
      <c r="J10" s="619"/>
      <c r="K10" s="619"/>
      <c r="L10" s="619"/>
      <c r="M10" s="619"/>
      <c r="N10" s="620"/>
      <c r="O10" s="613" t="s">
        <v>91</v>
      </c>
      <c r="P10" s="613"/>
      <c r="Q10" s="613"/>
      <c r="R10" s="613"/>
      <c r="S10" s="614"/>
    </row>
    <row r="11" spans="1:19" ht="15.75" thickBot="1" x14ac:dyDescent="0.3">
      <c r="A11"/>
      <c r="C11" s="207"/>
      <c r="D11" s="208" t="s">
        <v>110</v>
      </c>
      <c r="E11" s="209"/>
      <c r="F11" s="207"/>
      <c r="G11" s="208" t="s">
        <v>56</v>
      </c>
      <c r="H11" s="209"/>
      <c r="I11" s="207"/>
      <c r="J11" s="208" t="s">
        <v>57</v>
      </c>
      <c r="K11" s="209"/>
      <c r="L11" s="30"/>
      <c r="M11" s="254" t="s">
        <v>58</v>
      </c>
      <c r="N11" s="254"/>
      <c r="O11" s="615" t="s">
        <v>65</v>
      </c>
      <c r="P11" s="577"/>
      <c r="Q11" s="577"/>
      <c r="R11" s="577"/>
      <c r="S11" s="616"/>
    </row>
    <row r="12" spans="1:19" ht="15.75" thickBot="1" x14ac:dyDescent="0.3">
      <c r="A12"/>
      <c r="C12" s="593" t="s">
        <v>132</v>
      </c>
      <c r="D12" s="594"/>
      <c r="E12" s="609"/>
      <c r="F12" s="593" t="s">
        <v>132</v>
      </c>
      <c r="G12" s="594"/>
      <c r="H12" s="609"/>
      <c r="I12" s="593" t="s">
        <v>132</v>
      </c>
      <c r="J12" s="594"/>
      <c r="K12" s="609"/>
      <c r="L12" s="610" t="s">
        <v>133</v>
      </c>
      <c r="M12" s="611"/>
      <c r="N12" s="612"/>
      <c r="O12" s="566" t="s">
        <v>53</v>
      </c>
      <c r="P12" s="566"/>
      <c r="Q12" s="566"/>
      <c r="R12" s="566"/>
      <c r="S12" s="617"/>
    </row>
    <row r="13" spans="1:19" x14ac:dyDescent="0.25">
      <c r="A13"/>
      <c r="C13" s="74" t="s">
        <v>49</v>
      </c>
      <c r="D13" s="75" t="s">
        <v>50</v>
      </c>
      <c r="E13" s="76" t="s">
        <v>51</v>
      </c>
      <c r="F13" s="74" t="s">
        <v>49</v>
      </c>
      <c r="G13" s="75" t="s">
        <v>50</v>
      </c>
      <c r="H13" s="76" t="s">
        <v>51</v>
      </c>
      <c r="I13" s="74" t="s">
        <v>49</v>
      </c>
      <c r="J13" s="75" t="s">
        <v>50</v>
      </c>
      <c r="K13" s="76" t="s">
        <v>51</v>
      </c>
      <c r="L13" s="77" t="s">
        <v>49</v>
      </c>
      <c r="M13" s="78" t="s">
        <v>50</v>
      </c>
      <c r="N13" s="78" t="s">
        <v>51</v>
      </c>
      <c r="O13" s="139" t="s">
        <v>49</v>
      </c>
      <c r="P13" s="123" t="s">
        <v>50</v>
      </c>
      <c r="Q13" s="123" t="s">
        <v>51</v>
      </c>
      <c r="R13" s="118" t="s">
        <v>77</v>
      </c>
      <c r="S13" s="140" t="s">
        <v>78</v>
      </c>
    </row>
    <row r="14" spans="1:19" s="49" customFormat="1" x14ac:dyDescent="0.25">
      <c r="B14" s="49">
        <v>2013</v>
      </c>
      <c r="C14" s="87"/>
      <c r="D14" s="88"/>
      <c r="E14" s="88"/>
      <c r="F14" s="87"/>
      <c r="G14" s="88"/>
      <c r="H14" s="88"/>
      <c r="I14" s="87"/>
      <c r="J14" s="88"/>
      <c r="K14" s="89"/>
      <c r="L14" s="69"/>
      <c r="M14" s="70"/>
      <c r="N14" s="70"/>
      <c r="O14" s="148">
        <v>163203452</v>
      </c>
      <c r="P14" s="125"/>
      <c r="Q14" s="125"/>
      <c r="R14" s="136">
        <v>437688131</v>
      </c>
      <c r="S14" s="141">
        <f>(R14-O14)/R14</f>
        <v>0.62712388013098763</v>
      </c>
    </row>
    <row r="15" spans="1:19" s="49" customFormat="1" ht="15.75" thickBot="1" x14ac:dyDescent="0.3">
      <c r="B15" s="49">
        <v>2014</v>
      </c>
      <c r="C15" s="74"/>
      <c r="D15" s="75"/>
      <c r="E15" s="75"/>
      <c r="F15" s="74"/>
      <c r="G15" s="75"/>
      <c r="H15" s="75"/>
      <c r="I15" s="74"/>
      <c r="J15" s="75"/>
      <c r="K15" s="76"/>
      <c r="L15" s="77"/>
      <c r="M15" s="78"/>
      <c r="N15" s="78"/>
      <c r="O15" s="149">
        <v>168299277</v>
      </c>
      <c r="P15" s="70"/>
      <c r="Q15" s="70"/>
      <c r="R15" s="121">
        <f>R14*1.0543</f>
        <v>461454596.5133</v>
      </c>
      <c r="S15" s="142">
        <f t="shared" ref="S15:S45" si="0">(R15-O15)/R15</f>
        <v>0.63528529508287324</v>
      </c>
    </row>
    <row r="16" spans="1:19" ht="16.5" thickTop="1" thickBot="1" x14ac:dyDescent="0.3">
      <c r="A16" s="49">
        <v>1</v>
      </c>
      <c r="B16" s="49">
        <v>2016</v>
      </c>
      <c r="C16" s="200">
        <v>117664444</v>
      </c>
      <c r="D16" s="245">
        <v>24</v>
      </c>
      <c r="E16" s="56">
        <f>-PMT(1.075/1.03-1,D16,C16*1.075^0.5,0,1)</f>
        <v>7958766.2193071069</v>
      </c>
      <c r="F16" s="200">
        <v>998939</v>
      </c>
      <c r="G16" s="245">
        <v>29</v>
      </c>
      <c r="H16" s="56">
        <f>-PMT(1.075/1.03-1,G16,F16*1.075^0.5,0,1)</f>
        <v>61009.264946880176</v>
      </c>
      <c r="I16" s="200">
        <v>10511986</v>
      </c>
      <c r="J16" s="245">
        <v>29</v>
      </c>
      <c r="K16" s="55">
        <f>-PMT(1.075/1.03-1,J16,I16*1.075^0.5,0,1)</f>
        <v>642009.71129557979</v>
      </c>
      <c r="L16" s="200">
        <v>43171248</v>
      </c>
      <c r="M16" s="245">
        <v>30</v>
      </c>
      <c r="N16" s="56">
        <f>IF(M16&gt;0,-PMT((1+M2)/(1+M3)-1,M6,L16,0,1)*((1+M2)^0.5)/M7,0)</f>
        <v>607205.11097960989</v>
      </c>
      <c r="O16" s="200">
        <f>C16+F16+I16+L16</f>
        <v>172346617</v>
      </c>
      <c r="P16" s="245">
        <v>30</v>
      </c>
      <c r="Q16" s="120">
        <f t="shared" ref="Q16:Q45" si="1">E16+H16+K16+N16</f>
        <v>9268990.3065291755</v>
      </c>
      <c r="R16" s="136">
        <f t="shared" ref="R16:R45" si="2">R15*1.0543</f>
        <v>486511581.1039722</v>
      </c>
      <c r="S16" s="141">
        <f t="shared" si="0"/>
        <v>0.64575022734521936</v>
      </c>
    </row>
    <row r="17" spans="1:19" ht="15.75" thickTop="1" x14ac:dyDescent="0.25">
      <c r="A17" s="49">
        <f>A16+1</f>
        <v>2</v>
      </c>
      <c r="B17" s="49">
        <f t="shared" ref="B17:B45" si="3">B16+1</f>
        <v>2017</v>
      </c>
      <c r="C17" s="54">
        <f>C16*1.075-E16*1.075^0.5</f>
        <v>118237452.85242462</v>
      </c>
      <c r="D17" s="63">
        <f>D16-1</f>
        <v>23</v>
      </c>
      <c r="E17" s="56">
        <f t="shared" ref="E17:E39" si="4">-PMT(1.075/1.03-1,D17,C17*1.075^0.5,0,1)</f>
        <v>8197529.2058863221</v>
      </c>
      <c r="F17" s="54">
        <f>F16*1.075-H16*1.075^0.5</f>
        <v>1010603.6727709693</v>
      </c>
      <c r="G17" s="63">
        <f>G16-1</f>
        <v>28</v>
      </c>
      <c r="H17" s="56">
        <f t="shared" ref="H17:H44" si="5">-PMT(1.075/1.03-1,G17,F17*1.075^0.5,0,1)</f>
        <v>62839.542895286584</v>
      </c>
      <c r="I17" s="54">
        <f>I16*1.075-K16*1.075^0.5</f>
        <v>10634735.113672616</v>
      </c>
      <c r="J17" s="63">
        <f>J16-1</f>
        <v>28</v>
      </c>
      <c r="K17" s="55">
        <f t="shared" ref="K17:K44" si="6">-PMT(1.075/1.03-1,J17,I17*1.075^0.5,0,1)</f>
        <v>661270.00263444707</v>
      </c>
      <c r="L17" s="54">
        <f>L16*1.075-N16*1.075^0.5</f>
        <v>45779527.941336527</v>
      </c>
      <c r="M17" s="63">
        <f>M16-1</f>
        <v>29</v>
      </c>
      <c r="N17" s="56">
        <f>N$16*MIN(M$5,M$16+1-M17)*(1+M$3)^(M$16-M17)*IF(M17&lt;M$5,M17/M$5,1)</f>
        <v>1250842.5286179965</v>
      </c>
      <c r="O17" s="54">
        <f t="shared" ref="O17:O45" si="7">C17+F17+I17+L17</f>
        <v>175662319.58020473</v>
      </c>
      <c r="P17" s="63">
        <f>P16-1</f>
        <v>29</v>
      </c>
      <c r="Q17" s="72">
        <f t="shared" si="1"/>
        <v>10172481.280034052</v>
      </c>
      <c r="R17" s="121">
        <f t="shared" si="2"/>
        <v>512929159.95791787</v>
      </c>
      <c r="S17" s="142">
        <f t="shared" si="0"/>
        <v>0.65753103295079474</v>
      </c>
    </row>
    <row r="18" spans="1:19" x14ac:dyDescent="0.25">
      <c r="A18" s="49">
        <f t="shared" ref="A18:A45" si="8">A17+1</f>
        <v>3</v>
      </c>
      <c r="B18" s="49">
        <f t="shared" si="3"/>
        <v>2018</v>
      </c>
      <c r="C18" s="54">
        <f t="shared" ref="C18:C39" si="9">C17*1.075-E17*1.075^0.5</f>
        <v>118605882.63535382</v>
      </c>
      <c r="D18" s="63">
        <f t="shared" ref="D18:D39" si="10">D17-1</f>
        <v>22</v>
      </c>
      <c r="E18" s="56">
        <f t="shared" si="4"/>
        <v>8443455.0820629112</v>
      </c>
      <c r="F18" s="54">
        <f t="shared" ref="F18:F44" si="11">F17*1.075-H17*1.075^0.5</f>
        <v>1021245.5234328904</v>
      </c>
      <c r="G18" s="63">
        <f t="shared" ref="G18:G44" si="12">G17-1</f>
        <v>27</v>
      </c>
      <c r="H18" s="56">
        <f t="shared" si="5"/>
        <v>64724.729182145187</v>
      </c>
      <c r="I18" s="54">
        <f t="shared" ref="I18:I44" si="13">I17*1.075-K17*1.075^0.5</f>
        <v>10746720.915780857</v>
      </c>
      <c r="J18" s="63">
        <f t="shared" ref="J18:J44" si="14">J17-1</f>
        <v>27</v>
      </c>
      <c r="K18" s="55">
        <f t="shared" si="6"/>
        <v>681108.10271348048</v>
      </c>
      <c r="L18" s="54">
        <f t="shared" ref="L18:L45" si="15">L17*1.075-N17*1.075^0.5</f>
        <v>47916091.400090009</v>
      </c>
      <c r="M18" s="63">
        <f t="shared" ref="M18:M45" si="16">M17-1</f>
        <v>28</v>
      </c>
      <c r="N18" s="56">
        <f t="shared" ref="N18:N45" si="17">N$16*MIN(M$5,M$16+1-M18)*(1+M$3)^(M$16-M18)*IF(M18&lt;M$5,M18/M$5,1)</f>
        <v>1932551.7067148043</v>
      </c>
      <c r="O18" s="54">
        <f t="shared" si="7"/>
        <v>178289940.4746576</v>
      </c>
      <c r="P18" s="63">
        <f t="shared" ref="P18:P45" si="18">P17-1</f>
        <v>28</v>
      </c>
      <c r="Q18" s="72">
        <f t="shared" si="1"/>
        <v>11121839.62067334</v>
      </c>
      <c r="R18" s="121">
        <f t="shared" si="2"/>
        <v>540781213.34363282</v>
      </c>
      <c r="S18" s="142">
        <f t="shared" si="0"/>
        <v>0.6703104026630351</v>
      </c>
    </row>
    <row r="19" spans="1:19" x14ac:dyDescent="0.25">
      <c r="A19" s="49">
        <f t="shared" si="8"/>
        <v>4</v>
      </c>
      <c r="B19" s="49">
        <f t="shared" si="3"/>
        <v>2019</v>
      </c>
      <c r="C19" s="54">
        <f t="shared" si="9"/>
        <v>118746963.27657263</v>
      </c>
      <c r="D19" s="63">
        <f t="shared" si="10"/>
        <v>21</v>
      </c>
      <c r="E19" s="56">
        <f t="shared" si="4"/>
        <v>8696758.7345247976</v>
      </c>
      <c r="F19" s="54">
        <f t="shared" si="11"/>
        <v>1030730.9101505786</v>
      </c>
      <c r="G19" s="63">
        <f t="shared" si="12"/>
        <v>26</v>
      </c>
      <c r="H19" s="56">
        <f t="shared" si="5"/>
        <v>66666.471057609553</v>
      </c>
      <c r="I19" s="54">
        <f t="shared" si="13"/>
        <v>10846537.073104702</v>
      </c>
      <c r="J19" s="63">
        <f t="shared" si="14"/>
        <v>26</v>
      </c>
      <c r="K19" s="55">
        <f t="shared" si="6"/>
        <v>701541.34579488507</v>
      </c>
      <c r="L19" s="54">
        <f t="shared" si="15"/>
        <v>49506085.998668507</v>
      </c>
      <c r="M19" s="63">
        <f t="shared" si="16"/>
        <v>27</v>
      </c>
      <c r="N19" s="56">
        <f t="shared" si="17"/>
        <v>2654037.6772216647</v>
      </c>
      <c r="O19" s="54">
        <f t="shared" si="7"/>
        <v>180130317.2584964</v>
      </c>
      <c r="P19" s="63">
        <f t="shared" si="18"/>
        <v>27</v>
      </c>
      <c r="Q19" s="72">
        <f t="shared" si="1"/>
        <v>12119004.228598956</v>
      </c>
      <c r="R19" s="121">
        <f t="shared" si="2"/>
        <v>570145633.22819209</v>
      </c>
      <c r="S19" s="142">
        <f t="shared" si="0"/>
        <v>0.68406262056487244</v>
      </c>
    </row>
    <row r="20" spans="1:19" x14ac:dyDescent="0.25">
      <c r="A20" s="49">
        <f t="shared" si="8"/>
        <v>5</v>
      </c>
      <c r="B20" s="49">
        <f t="shared" si="3"/>
        <v>2020</v>
      </c>
      <c r="C20" s="54">
        <f t="shared" si="9"/>
        <v>118635994.14918987</v>
      </c>
      <c r="D20" s="63">
        <f t="shared" si="10"/>
        <v>20</v>
      </c>
      <c r="E20" s="56">
        <f t="shared" si="4"/>
        <v>8957661.4965605438</v>
      </c>
      <c r="F20" s="54">
        <f t="shared" si="11"/>
        <v>1038914.4600459</v>
      </c>
      <c r="G20" s="63">
        <f t="shared" si="12"/>
        <v>25</v>
      </c>
      <c r="H20" s="56">
        <f t="shared" si="5"/>
        <v>68666.465189337832</v>
      </c>
      <c r="I20" s="54">
        <f t="shared" si="13"/>
        <v>10932653.804887043</v>
      </c>
      <c r="J20" s="63">
        <f t="shared" si="14"/>
        <v>25</v>
      </c>
      <c r="K20" s="55">
        <f t="shared" si="6"/>
        <v>722587.58616873145</v>
      </c>
      <c r="L20" s="54">
        <f t="shared" si="15"/>
        <v>50467277.616407186</v>
      </c>
      <c r="M20" s="63">
        <f t="shared" si="16"/>
        <v>26</v>
      </c>
      <c r="N20" s="56">
        <f t="shared" si="17"/>
        <v>3417073.5094228932</v>
      </c>
      <c r="O20" s="54">
        <f t="shared" si="7"/>
        <v>181074840.03053001</v>
      </c>
      <c r="P20" s="63">
        <f t="shared" si="18"/>
        <v>26</v>
      </c>
      <c r="Q20" s="72">
        <f t="shared" si="1"/>
        <v>13165989.057341505</v>
      </c>
      <c r="R20" s="121">
        <f t="shared" si="2"/>
        <v>601104541.11248291</v>
      </c>
      <c r="S20" s="142">
        <f t="shared" si="0"/>
        <v>0.69876314742954837</v>
      </c>
    </row>
    <row r="21" spans="1:19" x14ac:dyDescent="0.25">
      <c r="A21" s="49">
        <f t="shared" si="8"/>
        <v>6</v>
      </c>
      <c r="B21" s="49">
        <f t="shared" si="3"/>
        <v>2021</v>
      </c>
      <c r="C21" s="54">
        <f t="shared" si="9"/>
        <v>118246192.59605964</v>
      </c>
      <c r="D21" s="63">
        <f t="shared" si="10"/>
        <v>19</v>
      </c>
      <c r="E21" s="56">
        <f t="shared" si="4"/>
        <v>9226391.3414573576</v>
      </c>
      <c r="F21" s="54">
        <f t="shared" si="11"/>
        <v>1045638.1381323913</v>
      </c>
      <c r="G21" s="63">
        <f t="shared" si="12"/>
        <v>24</v>
      </c>
      <c r="H21" s="56">
        <f t="shared" si="5"/>
        <v>70726.459145017958</v>
      </c>
      <c r="I21" s="54">
        <f t="shared" si="13"/>
        <v>11003408.085092044</v>
      </c>
      <c r="J21" s="63">
        <f t="shared" si="14"/>
        <v>24</v>
      </c>
      <c r="K21" s="55">
        <f t="shared" si="6"/>
        <v>744265.21375379327</v>
      </c>
      <c r="L21" s="54">
        <f t="shared" si="15"/>
        <v>50709426.216229849</v>
      </c>
      <c r="M21" s="63">
        <f t="shared" si="16"/>
        <v>25</v>
      </c>
      <c r="N21" s="56">
        <f t="shared" si="17"/>
        <v>3519585.7147055799</v>
      </c>
      <c r="O21" s="54">
        <f t="shared" si="7"/>
        <v>181004665.03551391</v>
      </c>
      <c r="P21" s="63">
        <f t="shared" si="18"/>
        <v>25</v>
      </c>
      <c r="Q21" s="72">
        <f t="shared" si="1"/>
        <v>13560968.729061749</v>
      </c>
      <c r="R21" s="121">
        <f t="shared" si="2"/>
        <v>633744517.69489074</v>
      </c>
      <c r="S21" s="142">
        <f t="shared" si="0"/>
        <v>0.71438859038358327</v>
      </c>
    </row>
    <row r="22" spans="1:19" x14ac:dyDescent="0.25">
      <c r="A22" s="49">
        <f t="shared" si="8"/>
        <v>7</v>
      </c>
      <c r="B22" s="49">
        <f t="shared" si="3"/>
        <v>2022</v>
      </c>
      <c r="C22" s="54">
        <f t="shared" si="9"/>
        <v>117548530.89301506</v>
      </c>
      <c r="D22" s="63">
        <f t="shared" si="10"/>
        <v>18</v>
      </c>
      <c r="E22" s="56">
        <f t="shared" si="4"/>
        <v>9503183.0817010794</v>
      </c>
      <c r="F22" s="54">
        <f t="shared" si="11"/>
        <v>1050730.2448828609</v>
      </c>
      <c r="G22" s="63">
        <f t="shared" si="12"/>
        <v>23</v>
      </c>
      <c r="H22" s="56">
        <f t="shared" si="5"/>
        <v>72848.252919368519</v>
      </c>
      <c r="I22" s="54">
        <f t="shared" si="13"/>
        <v>11056993.093657574</v>
      </c>
      <c r="J22" s="63">
        <f t="shared" si="14"/>
        <v>23</v>
      </c>
      <c r="K22" s="55">
        <f t="shared" si="6"/>
        <v>766593.17016640748</v>
      </c>
      <c r="L22" s="54">
        <f t="shared" si="15"/>
        <v>50863449.044396967</v>
      </c>
      <c r="M22" s="63">
        <f t="shared" si="16"/>
        <v>24</v>
      </c>
      <c r="N22" s="56">
        <f t="shared" si="17"/>
        <v>3625173.2861467474</v>
      </c>
      <c r="O22" s="54">
        <f t="shared" si="7"/>
        <v>180519703.27595246</v>
      </c>
      <c r="P22" s="63">
        <f t="shared" si="18"/>
        <v>24</v>
      </c>
      <c r="Q22" s="72">
        <f t="shared" si="1"/>
        <v>13967797.790933602</v>
      </c>
      <c r="R22" s="121">
        <f t="shared" si="2"/>
        <v>668156845.00572336</v>
      </c>
      <c r="S22" s="142">
        <f t="shared" si="0"/>
        <v>0.72982435991596228</v>
      </c>
    </row>
    <row r="23" spans="1:19" x14ac:dyDescent="0.25">
      <c r="A23" s="49">
        <f t="shared" si="8"/>
        <v>8</v>
      </c>
      <c r="B23" s="49">
        <f t="shared" si="3"/>
        <v>2023</v>
      </c>
      <c r="C23" s="54">
        <f t="shared" si="9"/>
        <v>116511560.77780965</v>
      </c>
      <c r="D23" s="63">
        <f t="shared" si="10"/>
        <v>17</v>
      </c>
      <c r="E23" s="56">
        <f t="shared" si="4"/>
        <v>9788278.5741521101</v>
      </c>
      <c r="F23" s="54">
        <f t="shared" si="11"/>
        <v>1054004.3370313321</v>
      </c>
      <c r="G23" s="63">
        <f t="shared" si="12"/>
        <v>22</v>
      </c>
      <c r="H23" s="56">
        <f t="shared" si="5"/>
        <v>75033.700506949579</v>
      </c>
      <c r="I23" s="54">
        <f t="shared" si="13"/>
        <v>11091446.859931028</v>
      </c>
      <c r="J23" s="63">
        <f t="shared" si="14"/>
        <v>22</v>
      </c>
      <c r="K23" s="55">
        <f t="shared" si="6"/>
        <v>789590.96527139971</v>
      </c>
      <c r="L23" s="54">
        <f t="shared" si="15"/>
        <v>50919548.060535125</v>
      </c>
      <c r="M23" s="63">
        <f t="shared" si="16"/>
        <v>23</v>
      </c>
      <c r="N23" s="56">
        <f t="shared" si="17"/>
        <v>3733928.4847311503</v>
      </c>
      <c r="O23" s="54">
        <f t="shared" si="7"/>
        <v>179576560.03530714</v>
      </c>
      <c r="P23" s="63">
        <f t="shared" si="18"/>
        <v>23</v>
      </c>
      <c r="Q23" s="72">
        <f t="shared" si="1"/>
        <v>14386831.724661611</v>
      </c>
      <c r="R23" s="121">
        <f t="shared" si="2"/>
        <v>704437761.68953419</v>
      </c>
      <c r="S23" s="142">
        <f t="shared" si="0"/>
        <v>0.74507817467847259</v>
      </c>
    </row>
    <row r="24" spans="1:19" x14ac:dyDescent="0.25">
      <c r="A24" s="49">
        <f t="shared" si="8"/>
        <v>9</v>
      </c>
      <c r="B24" s="49">
        <f t="shared" si="3"/>
        <v>2024</v>
      </c>
      <c r="C24" s="54">
        <f t="shared" si="9"/>
        <v>115101224.6059984</v>
      </c>
      <c r="D24" s="63">
        <f t="shared" si="10"/>
        <v>16</v>
      </c>
      <c r="E24" s="56">
        <f t="shared" si="4"/>
        <v>10081926.931376679</v>
      </c>
      <c r="F24" s="54">
        <f t="shared" si="11"/>
        <v>1055258.0658044061</v>
      </c>
      <c r="G24" s="63">
        <f t="shared" si="12"/>
        <v>21</v>
      </c>
      <c r="H24" s="56">
        <f t="shared" si="5"/>
        <v>77284.711522158061</v>
      </c>
      <c r="I24" s="54">
        <f t="shared" si="13"/>
        <v>11104640.037202464</v>
      </c>
      <c r="J24" s="63">
        <f t="shared" si="14"/>
        <v>21</v>
      </c>
      <c r="K24" s="55">
        <f t="shared" si="6"/>
        <v>813278.69422954158</v>
      </c>
      <c r="L24" s="54">
        <f t="shared" si="15"/>
        <v>50867094.713017888</v>
      </c>
      <c r="M24" s="63">
        <f t="shared" si="16"/>
        <v>22</v>
      </c>
      <c r="N24" s="56">
        <f t="shared" si="17"/>
        <v>3845946.3392730844</v>
      </c>
      <c r="O24" s="54">
        <f t="shared" si="7"/>
        <v>178128217.42202315</v>
      </c>
      <c r="P24" s="63">
        <f t="shared" si="18"/>
        <v>22</v>
      </c>
      <c r="Q24" s="72">
        <f t="shared" si="1"/>
        <v>14818436.676401462</v>
      </c>
      <c r="R24" s="121">
        <f t="shared" si="2"/>
        <v>742688732.1492759</v>
      </c>
      <c r="S24" s="142">
        <f t="shared" si="0"/>
        <v>0.76015764113380879</v>
      </c>
    </row>
    <row r="25" spans="1:19" x14ac:dyDescent="0.25">
      <c r="A25" s="49">
        <f t="shared" si="8"/>
        <v>10</v>
      </c>
      <c r="B25" s="49">
        <f t="shared" si="3"/>
        <v>2025</v>
      </c>
      <c r="C25" s="54">
        <f t="shared" si="9"/>
        <v>113280652.12439689</v>
      </c>
      <c r="D25" s="63">
        <f t="shared" si="10"/>
        <v>15</v>
      </c>
      <c r="E25" s="56">
        <f t="shared" si="4"/>
        <v>10384384.739317978</v>
      </c>
      <c r="F25" s="54">
        <f t="shared" si="11"/>
        <v>1054271.9263403323</v>
      </c>
      <c r="G25" s="63">
        <f t="shared" si="12"/>
        <v>20</v>
      </c>
      <c r="H25" s="56">
        <f t="shared" si="5"/>
        <v>79603.252867822797</v>
      </c>
      <c r="I25" s="54">
        <f t="shared" si="13"/>
        <v>11094262.742652558</v>
      </c>
      <c r="J25" s="63">
        <f t="shared" si="14"/>
        <v>20</v>
      </c>
      <c r="K25" s="55">
        <f t="shared" si="6"/>
        <v>837677.05505642784</v>
      </c>
      <c r="L25" s="54">
        <f t="shared" si="15"/>
        <v>50694564.780875139</v>
      </c>
      <c r="M25" s="63">
        <f t="shared" si="16"/>
        <v>21</v>
      </c>
      <c r="N25" s="56">
        <f t="shared" si="17"/>
        <v>3961324.7294512768</v>
      </c>
      <c r="O25" s="54">
        <f t="shared" si="7"/>
        <v>176123751.57426491</v>
      </c>
      <c r="P25" s="63">
        <f t="shared" si="18"/>
        <v>21</v>
      </c>
      <c r="Q25" s="72">
        <f t="shared" si="1"/>
        <v>15262989.776693506</v>
      </c>
      <c r="R25" s="121">
        <f t="shared" si="2"/>
        <v>783016730.30498159</v>
      </c>
      <c r="S25" s="142">
        <f t="shared" si="0"/>
        <v>0.77507025743158076</v>
      </c>
    </row>
    <row r="26" spans="1:19" x14ac:dyDescent="0.25">
      <c r="A26" s="49">
        <f t="shared" si="8"/>
        <v>11</v>
      </c>
      <c r="B26" s="49">
        <f t="shared" si="3"/>
        <v>2026</v>
      </c>
      <c r="C26" s="54">
        <f t="shared" si="9"/>
        <v>111009941.77686372</v>
      </c>
      <c r="D26" s="63">
        <f t="shared" si="10"/>
        <v>14</v>
      </c>
      <c r="E26" s="56">
        <f t="shared" si="4"/>
        <v>10695916.281497518</v>
      </c>
      <c r="F26" s="54">
        <f t="shared" si="11"/>
        <v>1050807.9115844709</v>
      </c>
      <c r="G26" s="63">
        <f t="shared" si="12"/>
        <v>19</v>
      </c>
      <c r="H26" s="56">
        <f t="shared" si="5"/>
        <v>81991.350453857449</v>
      </c>
      <c r="I26" s="54">
        <f t="shared" si="13"/>
        <v>11057810.392091203</v>
      </c>
      <c r="J26" s="63">
        <f t="shared" si="14"/>
        <v>19</v>
      </c>
      <c r="K26" s="55">
        <f t="shared" si="6"/>
        <v>862807.36670812045</v>
      </c>
      <c r="L26" s="54">
        <f t="shared" si="15"/>
        <v>50389468.242753118</v>
      </c>
      <c r="M26" s="63">
        <f t="shared" si="16"/>
        <v>20</v>
      </c>
      <c r="N26" s="56">
        <f t="shared" si="17"/>
        <v>4080164.471334815</v>
      </c>
      <c r="O26" s="54">
        <f t="shared" si="7"/>
        <v>173508028.32329249</v>
      </c>
      <c r="P26" s="63">
        <f t="shared" si="18"/>
        <v>20</v>
      </c>
      <c r="Q26" s="72">
        <f t="shared" si="1"/>
        <v>15720879.46999431</v>
      </c>
      <c r="R26" s="121">
        <f t="shared" si="2"/>
        <v>825534538.76054215</v>
      </c>
      <c r="S26" s="142">
        <f t="shared" si="0"/>
        <v>0.78982341722031701</v>
      </c>
    </row>
    <row r="27" spans="1:19" x14ac:dyDescent="0.25">
      <c r="A27" s="49">
        <f t="shared" si="8"/>
        <v>12</v>
      </c>
      <c r="B27" s="49">
        <f t="shared" si="3"/>
        <v>2027</v>
      </c>
      <c r="C27" s="54">
        <f t="shared" si="9"/>
        <v>108245925.37555969</v>
      </c>
      <c r="D27" s="63">
        <f t="shared" si="10"/>
        <v>13</v>
      </c>
      <c r="E27" s="56">
        <f t="shared" si="4"/>
        <v>11016793.769942446</v>
      </c>
      <c r="F27" s="54">
        <f t="shared" si="11"/>
        <v>1044608.0634449784</v>
      </c>
      <c r="G27" s="63">
        <f t="shared" si="12"/>
        <v>18</v>
      </c>
      <c r="H27" s="56">
        <f t="shared" si="5"/>
        <v>84451.090967473196</v>
      </c>
      <c r="I27" s="54">
        <f t="shared" si="13"/>
        <v>10992568.45354994</v>
      </c>
      <c r="J27" s="63">
        <f t="shared" si="14"/>
        <v>18</v>
      </c>
      <c r="K27" s="55">
        <f t="shared" si="6"/>
        <v>888691.58770936413</v>
      </c>
      <c r="L27" s="54">
        <f t="shared" si="15"/>
        <v>49938273.797371306</v>
      </c>
      <c r="M27" s="63">
        <f t="shared" si="16"/>
        <v>19</v>
      </c>
      <c r="N27" s="56">
        <f t="shared" si="17"/>
        <v>4202569.4054748602</v>
      </c>
      <c r="O27" s="54">
        <f t="shared" si="7"/>
        <v>170221375.68992591</v>
      </c>
      <c r="P27" s="63">
        <f t="shared" si="18"/>
        <v>19</v>
      </c>
      <c r="Q27" s="72">
        <f t="shared" si="1"/>
        <v>16192505.854094142</v>
      </c>
      <c r="R27" s="121">
        <f t="shared" si="2"/>
        <v>870361064.21523964</v>
      </c>
      <c r="S27" s="142">
        <f t="shared" si="0"/>
        <v>0.80442441339743764</v>
      </c>
    </row>
    <row r="28" spans="1:19" x14ac:dyDescent="0.25">
      <c r="A28" s="49">
        <f t="shared" si="8"/>
        <v>13</v>
      </c>
      <c r="B28" s="49">
        <f t="shared" si="3"/>
        <v>2028</v>
      </c>
      <c r="C28" s="54">
        <f t="shared" si="9"/>
        <v>104941914.88312076</v>
      </c>
      <c r="D28" s="63">
        <f t="shared" si="10"/>
        <v>12</v>
      </c>
      <c r="E28" s="56">
        <f t="shared" si="4"/>
        <v>11347297.583040714</v>
      </c>
      <c r="F28" s="54">
        <f t="shared" si="11"/>
        <v>1035392.9134497741</v>
      </c>
      <c r="G28" s="63">
        <f t="shared" si="12"/>
        <v>17</v>
      </c>
      <c r="H28" s="56">
        <f t="shared" si="5"/>
        <v>86984.62369649738</v>
      </c>
      <c r="I28" s="54">
        <f t="shared" si="13"/>
        <v>10895596.03807964</v>
      </c>
      <c r="J28" s="63">
        <f t="shared" si="14"/>
        <v>17</v>
      </c>
      <c r="K28" s="55">
        <f t="shared" si="6"/>
        <v>915352.33534064516</v>
      </c>
      <c r="L28" s="54">
        <f t="shared" si="15"/>
        <v>49326327.631678216</v>
      </c>
      <c r="M28" s="63">
        <f t="shared" si="16"/>
        <v>18</v>
      </c>
      <c r="N28" s="56">
        <f t="shared" si="17"/>
        <v>4328646.4876391049</v>
      </c>
      <c r="O28" s="54">
        <f t="shared" si="7"/>
        <v>166199231.46632838</v>
      </c>
      <c r="P28" s="63">
        <f t="shared" si="18"/>
        <v>18</v>
      </c>
      <c r="Q28" s="72">
        <f t="shared" si="1"/>
        <v>16678281.029716961</v>
      </c>
      <c r="R28" s="121">
        <f t="shared" si="2"/>
        <v>917621670.00212717</v>
      </c>
      <c r="S28" s="142">
        <f t="shared" si="0"/>
        <v>0.81888044179913155</v>
      </c>
    </row>
    <row r="29" spans="1:19" x14ac:dyDescent="0.25">
      <c r="A29" s="49">
        <f t="shared" si="8"/>
        <v>14</v>
      </c>
      <c r="B29" s="49">
        <f t="shared" si="3"/>
        <v>2029</v>
      </c>
      <c r="C29" s="54">
        <f t="shared" si="9"/>
        <v>101047429.95688075</v>
      </c>
      <c r="D29" s="63">
        <f t="shared" si="10"/>
        <v>11</v>
      </c>
      <c r="E29" s="56">
        <f t="shared" si="4"/>
        <v>11687716.510531936</v>
      </c>
      <c r="F29" s="54">
        <f t="shared" si="11"/>
        <v>1022859.8045623223</v>
      </c>
      <c r="G29" s="63">
        <f t="shared" si="12"/>
        <v>16</v>
      </c>
      <c r="H29" s="56">
        <f t="shared" si="5"/>
        <v>89594.162407392345</v>
      </c>
      <c r="I29" s="54">
        <f t="shared" si="13"/>
        <v>10763708.23996447</v>
      </c>
      <c r="J29" s="63">
        <f t="shared" si="14"/>
        <v>16</v>
      </c>
      <c r="K29" s="55">
        <f t="shared" si="6"/>
        <v>942812.90540086478</v>
      </c>
      <c r="L29" s="54">
        <f t="shared" si="15"/>
        <v>48537766.002543263</v>
      </c>
      <c r="M29" s="63">
        <f t="shared" si="16"/>
        <v>17</v>
      </c>
      <c r="N29" s="56">
        <f t="shared" si="17"/>
        <v>4458505.8822682779</v>
      </c>
      <c r="O29" s="54">
        <f t="shared" si="7"/>
        <v>161371764.0039508</v>
      </c>
      <c r="P29" s="63">
        <f t="shared" si="18"/>
        <v>17</v>
      </c>
      <c r="Q29" s="72">
        <f t="shared" si="1"/>
        <v>17178629.460608471</v>
      </c>
      <c r="R29" s="121">
        <f t="shared" si="2"/>
        <v>967448526.68324268</v>
      </c>
      <c r="S29" s="142">
        <f t="shared" si="0"/>
        <v>0.83319860483204145</v>
      </c>
    </row>
    <row r="30" spans="1:19" x14ac:dyDescent="0.25">
      <c r="A30" s="49">
        <f t="shared" si="8"/>
        <v>15</v>
      </c>
      <c r="B30" s="49">
        <f t="shared" si="3"/>
        <v>2030</v>
      </c>
      <c r="C30" s="54">
        <f t="shared" si="9"/>
        <v>96507904.804898515</v>
      </c>
      <c r="D30" s="63">
        <f t="shared" si="10"/>
        <v>10</v>
      </c>
      <c r="E30" s="56">
        <f t="shared" si="4"/>
        <v>12038348.005847894</v>
      </c>
      <c r="F30" s="54">
        <f t="shared" si="11"/>
        <v>1006681.0851864258</v>
      </c>
      <c r="G30" s="63">
        <f t="shared" si="12"/>
        <v>15</v>
      </c>
      <c r="H30" s="56">
        <f t="shared" si="5"/>
        <v>92281.987279614099</v>
      </c>
      <c r="I30" s="54">
        <f t="shared" si="13"/>
        <v>10593457.131961528</v>
      </c>
      <c r="J30" s="63">
        <f t="shared" si="14"/>
        <v>15</v>
      </c>
      <c r="K30" s="55">
        <f t="shared" si="6"/>
        <v>971097.29256289057</v>
      </c>
      <c r="L30" s="54">
        <f t="shared" si="15"/>
        <v>47555421.165177867</v>
      </c>
      <c r="M30" s="63">
        <f t="shared" si="16"/>
        <v>16</v>
      </c>
      <c r="N30" s="56">
        <f t="shared" si="17"/>
        <v>4592261.0587363271</v>
      </c>
      <c r="O30" s="54">
        <f t="shared" si="7"/>
        <v>155663464.18722433</v>
      </c>
      <c r="P30" s="63">
        <f t="shared" si="18"/>
        <v>16</v>
      </c>
      <c r="Q30" s="72">
        <f t="shared" si="1"/>
        <v>17693988.344426725</v>
      </c>
      <c r="R30" s="121">
        <f t="shared" si="2"/>
        <v>1019980981.6821427</v>
      </c>
      <c r="S30" s="142">
        <f t="shared" si="0"/>
        <v>0.84738591504862604</v>
      </c>
    </row>
    <row r="31" spans="1:19" x14ac:dyDescent="0.25">
      <c r="A31" s="49">
        <f t="shared" si="8"/>
        <v>16</v>
      </c>
      <c r="B31" s="49">
        <f t="shared" si="3"/>
        <v>2031</v>
      </c>
      <c r="C31" s="54">
        <f t="shared" si="9"/>
        <v>91264372.794555172</v>
      </c>
      <c r="D31" s="63">
        <f t="shared" si="10"/>
        <v>9</v>
      </c>
      <c r="E31" s="56">
        <f t="shared" si="4"/>
        <v>12399498.446023328</v>
      </c>
      <c r="F31" s="54">
        <f t="shared" si="11"/>
        <v>986502.16571579501</v>
      </c>
      <c r="G31" s="63">
        <f t="shared" si="12"/>
        <v>14</v>
      </c>
      <c r="H31" s="56">
        <f t="shared" si="5"/>
        <v>95050.446898002498</v>
      </c>
      <c r="I31" s="54">
        <f t="shared" si="13"/>
        <v>10381111.314078355</v>
      </c>
      <c r="J31" s="63">
        <f t="shared" si="14"/>
        <v>14</v>
      </c>
      <c r="K31" s="55">
        <f t="shared" si="6"/>
        <v>1000230.2113397773</v>
      </c>
      <c r="L31" s="54">
        <f t="shared" si="15"/>
        <v>46360720.146383375</v>
      </c>
      <c r="M31" s="63">
        <f t="shared" si="16"/>
        <v>15</v>
      </c>
      <c r="N31" s="56">
        <f t="shared" si="17"/>
        <v>4730028.8904984165</v>
      </c>
      <c r="O31" s="54">
        <f t="shared" si="7"/>
        <v>148992706.42073271</v>
      </c>
      <c r="P31" s="63">
        <f t="shared" si="18"/>
        <v>15</v>
      </c>
      <c r="Q31" s="72">
        <f t="shared" si="1"/>
        <v>18224807.994759522</v>
      </c>
      <c r="R31" s="121">
        <f t="shared" si="2"/>
        <v>1075365948.987483</v>
      </c>
      <c r="S31" s="142">
        <f t="shared" si="0"/>
        <v>0.86144929866803233</v>
      </c>
    </row>
    <row r="32" spans="1:19" x14ac:dyDescent="0.25">
      <c r="A32" s="49">
        <f t="shared" si="8"/>
        <v>17</v>
      </c>
      <c r="B32" s="49">
        <f t="shared" si="3"/>
        <v>2032</v>
      </c>
      <c r="C32" s="54">
        <f t="shared" si="9"/>
        <v>85253127.137314752</v>
      </c>
      <c r="D32" s="63">
        <f t="shared" si="10"/>
        <v>8</v>
      </c>
      <c r="E32" s="56">
        <f t="shared" si="4"/>
        <v>12771483.39940403</v>
      </c>
      <c r="F32" s="54">
        <f t="shared" si="11"/>
        <v>961939.4272590786</v>
      </c>
      <c r="G32" s="63">
        <f t="shared" si="12"/>
        <v>13</v>
      </c>
      <c r="H32" s="56">
        <f t="shared" si="5"/>
        <v>97901.960304942579</v>
      </c>
      <c r="I32" s="54">
        <f t="shared" si="13"/>
        <v>10122633.906770537</v>
      </c>
      <c r="J32" s="63">
        <f t="shared" si="14"/>
        <v>13</v>
      </c>
      <c r="K32" s="55">
        <f t="shared" si="6"/>
        <v>1030237.1176799707</v>
      </c>
      <c r="L32" s="54">
        <f t="shared" si="15"/>
        <v>44933575.822993815</v>
      </c>
      <c r="M32" s="63">
        <f t="shared" si="16"/>
        <v>14</v>
      </c>
      <c r="N32" s="56">
        <f t="shared" si="17"/>
        <v>4871929.7572133681</v>
      </c>
      <c r="O32" s="54">
        <f t="shared" si="7"/>
        <v>141271276.29433817</v>
      </c>
      <c r="P32" s="63">
        <f t="shared" si="18"/>
        <v>14</v>
      </c>
      <c r="Q32" s="72">
        <f t="shared" si="1"/>
        <v>18771552.23460231</v>
      </c>
      <c r="R32" s="121">
        <f t="shared" si="2"/>
        <v>1133758320.0175033</v>
      </c>
      <c r="S32" s="142">
        <f t="shared" si="0"/>
        <v>0.87539559904428554</v>
      </c>
    </row>
    <row r="33" spans="1:19" x14ac:dyDescent="0.25">
      <c r="A33" s="49">
        <f t="shared" si="8"/>
        <v>18</v>
      </c>
      <c r="B33" s="49">
        <f t="shared" si="3"/>
        <v>2033</v>
      </c>
      <c r="C33" s="54">
        <f t="shared" si="9"/>
        <v>78405355.847276345</v>
      </c>
      <c r="D33" s="63">
        <f t="shared" si="10"/>
        <v>7</v>
      </c>
      <c r="E33" s="56">
        <f t="shared" si="4"/>
        <v>13154627.901386149</v>
      </c>
      <c r="F33" s="54">
        <f t="shared" si="11"/>
        <v>932577.97139154654</v>
      </c>
      <c r="G33" s="63">
        <f t="shared" si="12"/>
        <v>12</v>
      </c>
      <c r="H33" s="56">
        <f t="shared" si="5"/>
        <v>100839.01911409084</v>
      </c>
      <c r="I33" s="54">
        <f t="shared" si="13"/>
        <v>9813658.8712387215</v>
      </c>
      <c r="J33" s="63">
        <f t="shared" si="14"/>
        <v>12</v>
      </c>
      <c r="K33" s="55">
        <f t="shared" si="6"/>
        <v>1061144.2312103696</v>
      </c>
      <c r="L33" s="54">
        <f t="shared" si="15"/>
        <v>43252269.725318991</v>
      </c>
      <c r="M33" s="63">
        <f t="shared" si="16"/>
        <v>13</v>
      </c>
      <c r="N33" s="56">
        <f t="shared" si="17"/>
        <v>5018087.6499297693</v>
      </c>
      <c r="O33" s="54">
        <f t="shared" si="7"/>
        <v>132403862.4152256</v>
      </c>
      <c r="P33" s="63">
        <f t="shared" si="18"/>
        <v>13</v>
      </c>
      <c r="Q33" s="72">
        <f t="shared" si="1"/>
        <v>19334698.801640376</v>
      </c>
      <c r="R33" s="121">
        <f t="shared" si="2"/>
        <v>1195321396.7944536</v>
      </c>
      <c r="S33" s="142">
        <f t="shared" si="0"/>
        <v>0.88923158008356673</v>
      </c>
    </row>
    <row r="34" spans="1:19" x14ac:dyDescent="0.25">
      <c r="A34" s="49">
        <f t="shared" si="8"/>
        <v>19</v>
      </c>
      <c r="B34" s="49">
        <f t="shared" si="3"/>
        <v>2034</v>
      </c>
      <c r="C34" s="54">
        <f t="shared" si="9"/>
        <v>70646749.035724938</v>
      </c>
      <c r="D34" s="63">
        <f t="shared" si="10"/>
        <v>6</v>
      </c>
      <c r="E34" s="56">
        <f t="shared" si="4"/>
        <v>13549266.738427732</v>
      </c>
      <c r="F34" s="54">
        <f t="shared" si="11"/>
        <v>897969.19894659065</v>
      </c>
      <c r="G34" s="63">
        <f t="shared" si="12"/>
        <v>11</v>
      </c>
      <c r="H34" s="56">
        <f t="shared" si="5"/>
        <v>103864.18968751359</v>
      </c>
      <c r="I34" s="54">
        <f t="shared" si="13"/>
        <v>9449465.5306858309</v>
      </c>
      <c r="J34" s="63">
        <f t="shared" si="14"/>
        <v>11</v>
      </c>
      <c r="K34" s="55">
        <f t="shared" si="6"/>
        <v>1092978.5581466802</v>
      </c>
      <c r="L34" s="54">
        <f t="shared" si="15"/>
        <v>41293325.941786572</v>
      </c>
      <c r="M34" s="63">
        <f t="shared" si="16"/>
        <v>12</v>
      </c>
      <c r="N34" s="56">
        <f t="shared" si="17"/>
        <v>5168630.2794276625</v>
      </c>
      <c r="O34" s="54">
        <f t="shared" si="7"/>
        <v>122287509.70714393</v>
      </c>
      <c r="P34" s="63">
        <f t="shared" si="18"/>
        <v>12</v>
      </c>
      <c r="Q34" s="72">
        <f t="shared" si="1"/>
        <v>19914739.765689589</v>
      </c>
      <c r="R34" s="121">
        <f t="shared" si="2"/>
        <v>1260227348.6403925</v>
      </c>
      <c r="S34" s="142">
        <f t="shared" si="0"/>
        <v>0.90296392961232352</v>
      </c>
    </row>
    <row r="35" spans="1:19" x14ac:dyDescent="0.25">
      <c r="A35" s="49">
        <f t="shared" si="8"/>
        <v>20</v>
      </c>
      <c r="B35" s="49">
        <f t="shared" si="3"/>
        <v>2035</v>
      </c>
      <c r="C35" s="54">
        <f t="shared" si="9"/>
        <v>61897076.458304271</v>
      </c>
      <c r="D35" s="63">
        <f t="shared" si="10"/>
        <v>5</v>
      </c>
      <c r="E35" s="56">
        <f t="shared" si="4"/>
        <v>13955744.740580568</v>
      </c>
      <c r="F35" s="54">
        <f t="shared" si="11"/>
        <v>857628.20495928335</v>
      </c>
      <c r="G35" s="63">
        <f t="shared" si="12"/>
        <v>10</v>
      </c>
      <c r="H35" s="56">
        <f t="shared" si="5"/>
        <v>106980.11537813899</v>
      </c>
      <c r="I35" s="54">
        <f t="shared" si="13"/>
        <v>9024951.156914603</v>
      </c>
      <c r="J35" s="63">
        <f t="shared" si="14"/>
        <v>10</v>
      </c>
      <c r="K35" s="55">
        <f t="shared" si="6"/>
        <v>1125767.9148910812</v>
      </c>
      <c r="L35" s="54">
        <f t="shared" si="15"/>
        <v>39031375.454101287</v>
      </c>
      <c r="M35" s="63">
        <f t="shared" si="16"/>
        <v>11</v>
      </c>
      <c r="N35" s="56">
        <f t="shared" si="17"/>
        <v>5323689.1878104927</v>
      </c>
      <c r="O35" s="54">
        <f t="shared" si="7"/>
        <v>110811031.27427945</v>
      </c>
      <c r="P35" s="63">
        <f t="shared" si="18"/>
        <v>11</v>
      </c>
      <c r="Q35" s="72">
        <f t="shared" si="1"/>
        <v>20512181.958660282</v>
      </c>
      <c r="R35" s="121">
        <f t="shared" si="2"/>
        <v>1328657693.6715658</v>
      </c>
      <c r="S35" s="142">
        <f t="shared" si="0"/>
        <v>0.9165992626979278</v>
      </c>
    </row>
    <row r="36" spans="1:19" x14ac:dyDescent="0.25">
      <c r="A36" s="49">
        <f t="shared" si="8"/>
        <v>21</v>
      </c>
      <c r="B36" s="49">
        <f t="shared" si="3"/>
        <v>2036</v>
      </c>
      <c r="C36" s="54">
        <f t="shared" si="9"/>
        <v>52069733.074924052</v>
      </c>
      <c r="D36" s="63">
        <f t="shared" si="10"/>
        <v>4</v>
      </c>
      <c r="E36" s="56">
        <f t="shared" si="4"/>
        <v>14374417.082797982</v>
      </c>
      <c r="F36" s="54">
        <f t="shared" si="11"/>
        <v>811030.97590567893</v>
      </c>
      <c r="G36" s="63">
        <f t="shared" si="12"/>
        <v>9</v>
      </c>
      <c r="H36" s="56">
        <f t="shared" si="5"/>
        <v>110189.51883948313</v>
      </c>
      <c r="I36" s="54">
        <f t="shared" si="13"/>
        <v>8534601.4764533527</v>
      </c>
      <c r="J36" s="63">
        <f t="shared" si="14"/>
        <v>9</v>
      </c>
      <c r="K36" s="55">
        <f t="shared" si="6"/>
        <v>1159540.9523378136</v>
      </c>
      <c r="L36" s="54">
        <f t="shared" si="15"/>
        <v>36439010.181840025</v>
      </c>
      <c r="M36" s="63">
        <f t="shared" si="16"/>
        <v>10</v>
      </c>
      <c r="N36" s="56">
        <f t="shared" si="17"/>
        <v>5483399.863444807</v>
      </c>
      <c r="O36" s="54">
        <f t="shared" si="7"/>
        <v>97854375.709123105</v>
      </c>
      <c r="P36" s="63">
        <f t="shared" si="18"/>
        <v>10</v>
      </c>
      <c r="Q36" s="72">
        <f t="shared" si="1"/>
        <v>21127547.417420082</v>
      </c>
      <c r="R36" s="121">
        <f t="shared" si="2"/>
        <v>1400803806.4379318</v>
      </c>
      <c r="S36" s="142">
        <f t="shared" si="0"/>
        <v>0.9301441249235648</v>
      </c>
    </row>
    <row r="37" spans="1:19" x14ac:dyDescent="0.25">
      <c r="A37" s="49">
        <f t="shared" si="8"/>
        <v>22</v>
      </c>
      <c r="B37" s="49">
        <f t="shared" si="3"/>
        <v>2037</v>
      </c>
      <c r="C37" s="54">
        <f t="shared" si="9"/>
        <v>41071250.214257732</v>
      </c>
      <c r="D37" s="63">
        <f t="shared" si="10"/>
        <v>3</v>
      </c>
      <c r="E37" s="56">
        <f t="shared" si="4"/>
        <v>14805649.595281921</v>
      </c>
      <c r="F37" s="54">
        <f t="shared" si="11"/>
        <v>757611.37434028776</v>
      </c>
      <c r="G37" s="63">
        <f t="shared" si="12"/>
        <v>8</v>
      </c>
      <c r="H37" s="56">
        <f t="shared" si="5"/>
        <v>113495.20440466765</v>
      </c>
      <c r="I37" s="54">
        <f t="shared" si="13"/>
        <v>7972458.9394406117</v>
      </c>
      <c r="J37" s="63">
        <f t="shared" si="14"/>
        <v>8</v>
      </c>
      <c r="K37" s="55">
        <f t="shared" si="6"/>
        <v>1194327.1809079482</v>
      </c>
      <c r="L37" s="54">
        <f t="shared" si="15"/>
        <v>33486625.961219598</v>
      </c>
      <c r="M37" s="63">
        <f t="shared" si="16"/>
        <v>9</v>
      </c>
      <c r="N37" s="56">
        <f t="shared" si="17"/>
        <v>5647901.8593481509</v>
      </c>
      <c r="O37" s="54">
        <f t="shared" si="7"/>
        <v>83287946.48925823</v>
      </c>
      <c r="P37" s="63">
        <f t="shared" si="18"/>
        <v>9</v>
      </c>
      <c r="Q37" s="72">
        <f t="shared" si="1"/>
        <v>21761373.839942686</v>
      </c>
      <c r="R37" s="121">
        <f t="shared" si="2"/>
        <v>1476867453.1275115</v>
      </c>
      <c r="S37" s="142">
        <f t="shared" si="0"/>
        <v>0.94360499561901623</v>
      </c>
    </row>
    <row r="38" spans="1:19" x14ac:dyDescent="0.25">
      <c r="A38" s="49">
        <f t="shared" si="8"/>
        <v>23</v>
      </c>
      <c r="B38" s="49">
        <f t="shared" si="3"/>
        <v>2038</v>
      </c>
      <c r="C38" s="54">
        <f t="shared" si="9"/>
        <v>28800769.753802869</v>
      </c>
      <c r="D38" s="63">
        <f t="shared" si="10"/>
        <v>2</v>
      </c>
      <c r="E38" s="56">
        <f t="shared" si="4"/>
        <v>15249819.083140381</v>
      </c>
      <c r="F38" s="54">
        <f t="shared" si="11"/>
        <v>696757.89491474268</v>
      </c>
      <c r="G38" s="63">
        <f t="shared" si="12"/>
        <v>7</v>
      </c>
      <c r="H38" s="56">
        <f t="shared" si="5"/>
        <v>116900.06053680766</v>
      </c>
      <c r="I38" s="54">
        <f t="shared" si="13"/>
        <v>7332088.5827195123</v>
      </c>
      <c r="J38" s="63">
        <f t="shared" si="14"/>
        <v>7</v>
      </c>
      <c r="K38" s="55">
        <f t="shared" si="6"/>
        <v>1230156.9963351865</v>
      </c>
      <c r="L38" s="54">
        <f t="shared" si="15"/>
        <v>30142253.624524891</v>
      </c>
      <c r="M38" s="63">
        <f t="shared" si="16"/>
        <v>8</v>
      </c>
      <c r="N38" s="56">
        <f t="shared" si="17"/>
        <v>5817338.9151285952</v>
      </c>
      <c r="O38" s="54">
        <f t="shared" si="7"/>
        <v>66971869.855962016</v>
      </c>
      <c r="P38" s="63">
        <f t="shared" si="18"/>
        <v>8</v>
      </c>
      <c r="Q38" s="72">
        <f t="shared" si="1"/>
        <v>22414215.055140968</v>
      </c>
      <c r="R38" s="121">
        <f t="shared" si="2"/>
        <v>1557061355.8323355</v>
      </c>
      <c r="S38" s="142">
        <f t="shared" si="0"/>
        <v>0.95698829104896654</v>
      </c>
    </row>
    <row r="39" spans="1:19" x14ac:dyDescent="0.25">
      <c r="A39" s="49">
        <f t="shared" si="8"/>
        <v>24</v>
      </c>
      <c r="B39" s="49">
        <f t="shared" si="3"/>
        <v>2039</v>
      </c>
      <c r="C39" s="54">
        <f t="shared" si="9"/>
        <v>15149478.532018164</v>
      </c>
      <c r="D39" s="63">
        <f t="shared" si="10"/>
        <v>1</v>
      </c>
      <c r="E39" s="56">
        <f t="shared" si="4"/>
        <v>15707313.655634595</v>
      </c>
      <c r="F39" s="54">
        <f t="shared" si="11"/>
        <v>627810.17455724964</v>
      </c>
      <c r="G39" s="63">
        <f t="shared" si="12"/>
        <v>6</v>
      </c>
      <c r="H39" s="56">
        <f t="shared" si="5"/>
        <v>120407.06235291189</v>
      </c>
      <c r="I39" s="54">
        <f t="shared" si="13"/>
        <v>6606541.3059289558</v>
      </c>
      <c r="J39" s="63">
        <f t="shared" si="14"/>
        <v>6</v>
      </c>
      <c r="K39" s="55">
        <f t="shared" si="6"/>
        <v>1267061.7062252418</v>
      </c>
      <c r="L39" s="54">
        <f t="shared" si="15"/>
        <v>26371377.284064494</v>
      </c>
      <c r="M39" s="63">
        <f t="shared" si="16"/>
        <v>7</v>
      </c>
      <c r="N39" s="56">
        <f t="shared" si="17"/>
        <v>5991859.0825824542</v>
      </c>
      <c r="O39" s="54">
        <f t="shared" si="7"/>
        <v>48755207.296568863</v>
      </c>
      <c r="P39" s="63">
        <f t="shared" si="18"/>
        <v>7</v>
      </c>
      <c r="Q39" s="72">
        <f t="shared" si="1"/>
        <v>23086641.506795205</v>
      </c>
      <c r="R39" s="121">
        <f t="shared" si="2"/>
        <v>1641609787.4540312</v>
      </c>
      <c r="S39" s="142">
        <f t="shared" si="0"/>
        <v>0.97030036756044002</v>
      </c>
    </row>
    <row r="40" spans="1:19" x14ac:dyDescent="0.25">
      <c r="A40" s="49">
        <f t="shared" si="8"/>
        <v>25</v>
      </c>
      <c r="B40" s="49">
        <f t="shared" si="3"/>
        <v>2040</v>
      </c>
      <c r="C40" s="54"/>
      <c r="D40" s="63"/>
      <c r="E40" s="56"/>
      <c r="F40" s="54">
        <f t="shared" si="11"/>
        <v>550055.23829866177</v>
      </c>
      <c r="G40" s="63">
        <f t="shared" si="12"/>
        <v>5</v>
      </c>
      <c r="H40" s="56">
        <f t="shared" si="5"/>
        <v>124019.27422349929</v>
      </c>
      <c r="I40" s="54">
        <f t="shared" si="13"/>
        <v>5788314.3657642733</v>
      </c>
      <c r="J40" s="63">
        <f t="shared" si="14"/>
        <v>5</v>
      </c>
      <c r="K40" s="55">
        <f t="shared" si="6"/>
        <v>1305073.5574119997</v>
      </c>
      <c r="L40" s="54">
        <f t="shared" si="15"/>
        <v>22136738.857200578</v>
      </c>
      <c r="M40" s="63">
        <f t="shared" si="16"/>
        <v>6</v>
      </c>
      <c r="N40" s="56">
        <f t="shared" si="17"/>
        <v>6171614.8550599264</v>
      </c>
      <c r="O40" s="54">
        <f t="shared" si="7"/>
        <v>28475108.461263515</v>
      </c>
      <c r="P40" s="63">
        <f t="shared" si="18"/>
        <v>6</v>
      </c>
      <c r="Q40" s="72">
        <f t="shared" si="1"/>
        <v>7600707.6866954248</v>
      </c>
      <c r="R40" s="121">
        <f t="shared" si="2"/>
        <v>1730749198.9127851</v>
      </c>
      <c r="S40" s="142">
        <f t="shared" si="0"/>
        <v>0.98354752469095419</v>
      </c>
    </row>
    <row r="41" spans="1:19" x14ac:dyDescent="0.25">
      <c r="A41" s="49">
        <f t="shared" si="8"/>
        <v>26</v>
      </c>
      <c r="B41" s="49">
        <f t="shared" si="3"/>
        <v>2041</v>
      </c>
      <c r="C41" s="54"/>
      <c r="D41" s="63"/>
      <c r="E41" s="56"/>
      <c r="F41" s="54">
        <f t="shared" si="11"/>
        <v>462723.46084016835</v>
      </c>
      <c r="G41" s="63">
        <f t="shared" si="12"/>
        <v>4</v>
      </c>
      <c r="H41" s="56">
        <f t="shared" si="5"/>
        <v>127739.85245020426</v>
      </c>
      <c r="I41" s="54">
        <f t="shared" si="13"/>
        <v>4869308.8789439583</v>
      </c>
      <c r="J41" s="63">
        <f t="shared" si="14"/>
        <v>4</v>
      </c>
      <c r="K41" s="55">
        <f t="shared" si="6"/>
        <v>1344225.7641343598</v>
      </c>
      <c r="L41" s="54">
        <f t="shared" si="15"/>
        <v>17398127.796626803</v>
      </c>
      <c r="M41" s="63">
        <f t="shared" si="16"/>
        <v>5</v>
      </c>
      <c r="N41" s="56">
        <f t="shared" si="17"/>
        <v>6356763.300711724</v>
      </c>
      <c r="O41" s="54">
        <f t="shared" si="7"/>
        <v>22730160.136410929</v>
      </c>
      <c r="P41" s="63">
        <f t="shared" si="18"/>
        <v>5</v>
      </c>
      <c r="Q41" s="72">
        <f t="shared" si="1"/>
        <v>7828728.9172962885</v>
      </c>
      <c r="R41" s="121">
        <f t="shared" si="2"/>
        <v>1824728880.4137492</v>
      </c>
      <c r="S41" s="142">
        <f t="shared" si="0"/>
        <v>0.98754326717772067</v>
      </c>
    </row>
    <row r="42" spans="1:19" x14ac:dyDescent="0.25">
      <c r="A42" s="49">
        <f t="shared" si="8"/>
        <v>27</v>
      </c>
      <c r="B42" s="49">
        <f t="shared" si="3"/>
        <v>2042</v>
      </c>
      <c r="C42" s="54"/>
      <c r="D42" s="63"/>
      <c r="E42" s="56"/>
      <c r="F42" s="54">
        <f t="shared" si="11"/>
        <v>364984.22246236115</v>
      </c>
      <c r="G42" s="63">
        <f t="shared" si="12"/>
        <v>3</v>
      </c>
      <c r="H42" s="56">
        <f t="shared" si="5"/>
        <v>131572.04802371038</v>
      </c>
      <c r="I42" s="54">
        <f t="shared" si="13"/>
        <v>3840784.1086845407</v>
      </c>
      <c r="J42" s="63">
        <f t="shared" si="14"/>
        <v>3</v>
      </c>
      <c r="K42" s="55">
        <f t="shared" si="6"/>
        <v>1384552.5370583902</v>
      </c>
      <c r="L42" s="54">
        <f t="shared" si="15"/>
        <v>12112154.912264083</v>
      </c>
      <c r="M42" s="63">
        <f t="shared" si="16"/>
        <v>4</v>
      </c>
      <c r="N42" s="56">
        <f t="shared" si="17"/>
        <v>5237972.9597864617</v>
      </c>
      <c r="O42" s="54">
        <f t="shared" si="7"/>
        <v>16317923.243410984</v>
      </c>
      <c r="P42" s="63">
        <f t="shared" si="18"/>
        <v>4</v>
      </c>
      <c r="Q42" s="72">
        <f t="shared" si="1"/>
        <v>6754097.5448685624</v>
      </c>
      <c r="R42" s="121">
        <f t="shared" si="2"/>
        <v>1923811658.6202159</v>
      </c>
      <c r="S42" s="142">
        <f t="shared" si="0"/>
        <v>0.99151792059773958</v>
      </c>
    </row>
    <row r="43" spans="1:19" x14ac:dyDescent="0.25">
      <c r="A43" s="49">
        <f t="shared" si="8"/>
        <v>28</v>
      </c>
      <c r="B43" s="49">
        <f t="shared" si="3"/>
        <v>2043</v>
      </c>
      <c r="C43" s="54"/>
      <c r="D43" s="63"/>
      <c r="E43" s="56"/>
      <c r="F43" s="54">
        <f t="shared" si="11"/>
        <v>255941.23626799381</v>
      </c>
      <c r="G43" s="63">
        <f t="shared" si="12"/>
        <v>2</v>
      </c>
      <c r="H43" s="56">
        <f t="shared" si="5"/>
        <v>135519.20946442173</v>
      </c>
      <c r="I43" s="54">
        <f t="shared" si="13"/>
        <v>2693308.2925702604</v>
      </c>
      <c r="J43" s="63">
        <f t="shared" si="14"/>
        <v>2</v>
      </c>
      <c r="K43" s="55">
        <f t="shared" si="6"/>
        <v>1426089.1131701423</v>
      </c>
      <c r="L43" s="54">
        <f t="shared" si="15"/>
        <v>7589720.5761374692</v>
      </c>
      <c r="M43" s="63">
        <f t="shared" si="16"/>
        <v>3</v>
      </c>
      <c r="N43" s="56">
        <f t="shared" si="17"/>
        <v>4046334.1114350408</v>
      </c>
      <c r="O43" s="54">
        <f t="shared" si="7"/>
        <v>10538970.104975723</v>
      </c>
      <c r="P43" s="63">
        <f t="shared" si="18"/>
        <v>3</v>
      </c>
      <c r="Q43" s="72">
        <f t="shared" si="1"/>
        <v>5607942.4340696046</v>
      </c>
      <c r="R43" s="121">
        <f t="shared" si="2"/>
        <v>2028274631.6832936</v>
      </c>
      <c r="S43" s="142">
        <f t="shared" si="0"/>
        <v>0.99480397282480959</v>
      </c>
    </row>
    <row r="44" spans="1:19" x14ac:dyDescent="0.25">
      <c r="A44" s="49">
        <f t="shared" si="8"/>
        <v>29</v>
      </c>
      <c r="B44" s="49">
        <f t="shared" si="3"/>
        <v>2044</v>
      </c>
      <c r="C44" s="54"/>
      <c r="D44" s="63"/>
      <c r="E44" s="56"/>
      <c r="F44" s="54">
        <f t="shared" si="11"/>
        <v>134627.52202267756</v>
      </c>
      <c r="G44" s="63">
        <f t="shared" si="12"/>
        <v>1</v>
      </c>
      <c r="H44" s="56">
        <f t="shared" si="5"/>
        <v>139584.78574835445</v>
      </c>
      <c r="I44" s="54">
        <f t="shared" si="13"/>
        <v>1416705.75151944</v>
      </c>
      <c r="J44" s="63">
        <f t="shared" si="14"/>
        <v>1</v>
      </c>
      <c r="K44" s="55">
        <f t="shared" si="6"/>
        <v>1468871.7865652465</v>
      </c>
      <c r="L44" s="54">
        <f t="shared" si="15"/>
        <v>3963621.1194606712</v>
      </c>
      <c r="M44" s="63">
        <f t="shared" si="16"/>
        <v>2</v>
      </c>
      <c r="N44" s="56">
        <f t="shared" si="17"/>
        <v>2778482.7565187286</v>
      </c>
      <c r="O44" s="54">
        <f t="shared" si="7"/>
        <v>5514954.3930027885</v>
      </c>
      <c r="P44" s="63">
        <f t="shared" si="18"/>
        <v>2</v>
      </c>
      <c r="Q44" s="72">
        <f t="shared" si="1"/>
        <v>4386939.3288323293</v>
      </c>
      <c r="R44" s="121">
        <f t="shared" si="2"/>
        <v>2138409944.1836965</v>
      </c>
      <c r="S44" s="142">
        <f t="shared" si="0"/>
        <v>0.99742100226946517</v>
      </c>
    </row>
    <row r="45" spans="1:19" x14ac:dyDescent="0.25">
      <c r="A45" s="49">
        <f t="shared" si="8"/>
        <v>30</v>
      </c>
      <c r="B45" s="49">
        <f t="shared" si="3"/>
        <v>2045</v>
      </c>
      <c r="C45" s="54"/>
      <c r="D45" s="63"/>
      <c r="E45" s="56"/>
      <c r="F45" s="54"/>
      <c r="G45" s="63"/>
      <c r="H45" s="56"/>
      <c r="I45" s="54"/>
      <c r="J45" s="63"/>
      <c r="K45" s="55"/>
      <c r="L45" s="54">
        <f t="shared" si="15"/>
        <v>1380100.4668310741</v>
      </c>
      <c r="M45" s="63">
        <f t="shared" si="16"/>
        <v>1</v>
      </c>
      <c r="N45" s="56">
        <f t="shared" si="17"/>
        <v>1430918.619607145</v>
      </c>
      <c r="O45" s="54">
        <f t="shared" si="7"/>
        <v>1380100.4668310741</v>
      </c>
      <c r="P45" s="63">
        <f t="shared" si="18"/>
        <v>1</v>
      </c>
      <c r="Q45" s="72">
        <f t="shared" si="1"/>
        <v>1430918.619607145</v>
      </c>
      <c r="R45" s="121">
        <f t="shared" si="2"/>
        <v>2254525604.1528711</v>
      </c>
      <c r="S45" s="142">
        <f t="shared" si="0"/>
        <v>0.99938785327419255</v>
      </c>
    </row>
    <row r="46" spans="1:19" ht="15.75" thickBot="1" x14ac:dyDescent="0.3">
      <c r="C46" s="57"/>
      <c r="D46" s="68"/>
      <c r="E46" s="59"/>
      <c r="F46" s="57"/>
      <c r="G46" s="68"/>
      <c r="H46" s="59"/>
      <c r="I46" s="60"/>
      <c r="J46" s="61"/>
      <c r="K46" s="62"/>
      <c r="L46" s="66"/>
      <c r="M46" s="67"/>
      <c r="N46" s="67"/>
      <c r="O46" s="144"/>
      <c r="P46" s="145"/>
      <c r="Q46" s="145"/>
      <c r="R46" s="146"/>
      <c r="S46" s="147"/>
    </row>
    <row r="47" spans="1:19" x14ac:dyDescent="0.25">
      <c r="O47" s="49" t="s">
        <v>81</v>
      </c>
      <c r="P47" s="49"/>
      <c r="Q47" s="47">
        <f>SUM(Q16:Q46)</f>
        <v>430066706.4557901</v>
      </c>
    </row>
    <row r="48" spans="1:19" x14ac:dyDescent="0.25">
      <c r="A48"/>
      <c r="B48"/>
      <c r="C48" s="48"/>
      <c r="D48" s="215">
        <v>0</v>
      </c>
      <c r="E48" s="56"/>
      <c r="F48" s="49" t="s">
        <v>152</v>
      </c>
      <c r="G48" s="49"/>
      <c r="H48" s="49"/>
      <c r="I48" s="49"/>
      <c r="J48" s="49"/>
      <c r="K48" s="49"/>
      <c r="L48" s="49"/>
      <c r="O48" s="49"/>
      <c r="P48" s="49"/>
      <c r="Q48" s="48"/>
      <c r="S48" s="48"/>
    </row>
    <row r="49" spans="1:22" x14ac:dyDescent="0.25">
      <c r="A49"/>
      <c r="B49"/>
      <c r="D49" s="215">
        <v>-1</v>
      </c>
      <c r="E49" s="274"/>
      <c r="F49" s="49" t="s">
        <v>153</v>
      </c>
      <c r="G49" s="49"/>
      <c r="H49" s="49"/>
      <c r="I49" s="49"/>
      <c r="J49" s="49"/>
      <c r="K49" s="49"/>
      <c r="L49" s="49"/>
      <c r="O49" s="49"/>
      <c r="P49" s="49"/>
      <c r="Q49" s="49"/>
    </row>
    <row r="50" spans="1:22" x14ac:dyDescent="0.25">
      <c r="A50"/>
      <c r="B50"/>
      <c r="D50" s="215">
        <v>1</v>
      </c>
      <c r="E50" s="56"/>
      <c r="F50" s="49" t="s">
        <v>154</v>
      </c>
      <c r="G50" s="49"/>
      <c r="H50" s="49"/>
      <c r="I50" s="49"/>
      <c r="J50" s="49"/>
      <c r="K50" s="49"/>
      <c r="L50" s="49"/>
      <c r="O50" s="49"/>
      <c r="P50" s="49"/>
      <c r="Q50" s="49"/>
    </row>
    <row r="51" spans="1:22" x14ac:dyDescent="0.25">
      <c r="A51"/>
      <c r="B51"/>
    </row>
    <row r="54" spans="1:22" x14ac:dyDescent="0.25">
      <c r="L54" s="49"/>
      <c r="M54" s="49"/>
      <c r="N54" s="49"/>
      <c r="O54" s="49"/>
      <c r="P54" s="49"/>
      <c r="Q54" s="49"/>
      <c r="S54" s="49"/>
      <c r="T54" s="49"/>
      <c r="U54" s="49"/>
      <c r="V54" s="49"/>
    </row>
    <row r="55" spans="1:22" x14ac:dyDescent="0.25">
      <c r="L55" s="49"/>
      <c r="M55" s="49"/>
      <c r="N55" s="49"/>
      <c r="O55" s="49"/>
      <c r="P55" s="49"/>
      <c r="Q55" s="49"/>
      <c r="S55" s="49"/>
      <c r="T55" s="49"/>
      <c r="U55" s="49"/>
      <c r="V55" s="49"/>
    </row>
    <row r="56" spans="1:22" x14ac:dyDescent="0.25">
      <c r="L56" s="49"/>
      <c r="M56" s="49"/>
      <c r="N56" s="49"/>
      <c r="O56" s="49"/>
      <c r="P56" s="49"/>
      <c r="Q56" s="49"/>
      <c r="S56" s="49"/>
      <c r="T56" s="49"/>
      <c r="U56" s="49"/>
      <c r="V56" s="49"/>
    </row>
    <row r="57" spans="1:22" x14ac:dyDescent="0.25">
      <c r="L57" s="49"/>
      <c r="M57" s="49"/>
      <c r="N57" s="49"/>
      <c r="O57" s="49"/>
      <c r="P57" s="49"/>
      <c r="Q57" s="49"/>
      <c r="S57" s="49"/>
      <c r="T57" s="49"/>
      <c r="U57" s="49"/>
      <c r="V57" s="49"/>
    </row>
    <row r="58" spans="1:22" x14ac:dyDescent="0.25">
      <c r="L58" s="49"/>
      <c r="M58" s="49"/>
      <c r="N58" s="49"/>
      <c r="O58" s="49"/>
      <c r="P58" s="49"/>
      <c r="Q58" s="49"/>
      <c r="S58" s="49"/>
      <c r="T58" s="49"/>
      <c r="U58" s="49"/>
    </row>
  </sheetData>
  <mergeCells count="8">
    <mergeCell ref="C12:E12"/>
    <mergeCell ref="F12:H12"/>
    <mergeCell ref="I12:K12"/>
    <mergeCell ref="L12:N12"/>
    <mergeCell ref="O10:S10"/>
    <mergeCell ref="O11:S11"/>
    <mergeCell ref="O12:S12"/>
    <mergeCell ref="C10:N10"/>
  </mergeCells>
  <conditionalFormatting sqref="S14:S45">
    <cfRule type="iconSet" priority="31">
      <iconSet>
        <cfvo type="percent" val="0"/>
        <cfvo type="num" val="0.7"/>
        <cfvo type="num" val="0.8"/>
      </iconSet>
    </cfRule>
  </conditionalFormatting>
  <conditionalFormatting sqref="I45">
    <cfRule type="iconSet" priority="29">
      <iconSet reverse="1">
        <cfvo type="percent" val="0"/>
        <cfvo type="num" val="$L$16"/>
        <cfvo type="num" val="$L$16" gte="0"/>
      </iconSet>
    </cfRule>
  </conditionalFormatting>
  <conditionalFormatting sqref="I45">
    <cfRule type="iconSet" priority="27">
      <iconSet reverse="1">
        <cfvo type="percent" val="0"/>
        <cfvo type="num" val="$I$16"/>
        <cfvo type="num" val="$I$16"/>
      </iconSet>
    </cfRule>
  </conditionalFormatting>
  <conditionalFormatting sqref="O14:O15">
    <cfRule type="iconSet" priority="22">
      <iconSet reverse="1">
        <cfvo type="percent" val="0"/>
        <cfvo type="num" val="$O$16"/>
        <cfvo type="num" val="$O$16"/>
      </iconSet>
    </cfRule>
  </conditionalFormatting>
  <conditionalFormatting sqref="C17:C39">
    <cfRule type="cellIs" dxfId="146" priority="19" operator="greaterThanOrEqual">
      <formula>C16</formula>
    </cfRule>
    <cfRule type="cellIs" dxfId="145" priority="20" operator="greaterThan">
      <formula>C$16</formula>
    </cfRule>
    <cfRule type="cellIs" dxfId="144" priority="21" operator="lessThanOrEqual">
      <formula>C$16</formula>
    </cfRule>
  </conditionalFormatting>
  <conditionalFormatting sqref="F17:F44">
    <cfRule type="cellIs" dxfId="143" priority="16" operator="greaterThanOrEqual">
      <formula>F16</formula>
    </cfRule>
    <cfRule type="cellIs" dxfId="142" priority="17" operator="greaterThan">
      <formula>F$16</formula>
    </cfRule>
    <cfRule type="cellIs" dxfId="141" priority="18" operator="lessThanOrEqual">
      <formula>F$16</formula>
    </cfRule>
  </conditionalFormatting>
  <conditionalFormatting sqref="I17:I44">
    <cfRule type="cellIs" dxfId="140" priority="13" operator="greaterThanOrEqual">
      <formula>I16</formula>
    </cfRule>
    <cfRule type="cellIs" dxfId="139" priority="14" operator="greaterThan">
      <formula>I$16</formula>
    </cfRule>
    <cfRule type="cellIs" dxfId="138" priority="15" operator="lessThanOrEqual">
      <formula>I$16</formula>
    </cfRule>
  </conditionalFormatting>
  <conditionalFormatting sqref="L17:L45">
    <cfRule type="cellIs" dxfId="137" priority="10" operator="greaterThanOrEqual">
      <formula>L16</formula>
    </cfRule>
    <cfRule type="cellIs" dxfId="136" priority="11" operator="greaterThan">
      <formula>L$16</formula>
    </cfRule>
    <cfRule type="cellIs" dxfId="135" priority="12" operator="lessThanOrEqual">
      <formula>L$16</formula>
    </cfRule>
  </conditionalFormatting>
  <conditionalFormatting sqref="O17:O45">
    <cfRule type="cellIs" dxfId="134" priority="7" operator="greaterThanOrEqual">
      <formula>O16</formula>
    </cfRule>
    <cfRule type="cellIs" dxfId="133" priority="8" operator="greaterThan">
      <formula>O$16</formula>
    </cfRule>
    <cfRule type="cellIs" dxfId="132" priority="9" operator="lessThanOrEqual">
      <formula>O$16</formula>
    </cfRule>
  </conditionalFormatting>
  <conditionalFormatting sqref="E48">
    <cfRule type="cellIs" dxfId="131" priority="1" operator="greaterThanOrEqual">
      <formula>D48</formula>
    </cfRule>
    <cfRule type="cellIs" dxfId="130" priority="2" operator="greaterThan">
      <formula>D49</formula>
    </cfRule>
    <cfRule type="cellIs" dxfId="129" priority="3" operator="lessThanOrEqual">
      <formula>51</formula>
    </cfRule>
  </conditionalFormatting>
  <conditionalFormatting sqref="E50">
    <cfRule type="cellIs" dxfId="128" priority="40" operator="greaterThanOrEqual">
      <formula>D50</formula>
    </cfRule>
    <cfRule type="cellIs" dxfId="127" priority="41" operator="greaterThan">
      <formula>E48</formula>
    </cfRule>
    <cfRule type="cellIs" dxfId="126" priority="42" operator="lessThanOrEqual">
      <formula>51</formula>
    </cfRule>
  </conditionalFormatting>
  <pageMargins left="0" right="0" top="0.25" bottom="0.25" header="0.05" footer="0.05"/>
  <pageSetup scale="54" orientation="landscape" r:id="rId1"/>
  <headerFooter differentFirst="1">
    <oddFooter>&amp;R&amp;P</oddFooter>
  </headerFooter>
  <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P51"/>
  <sheetViews>
    <sheetView showGridLines="0" zoomScaleNormal="100" workbookViewId="0">
      <selection activeCell="AH56" sqref="A53:AH56"/>
    </sheetView>
  </sheetViews>
  <sheetFormatPr defaultColWidth="9.140625" defaultRowHeight="15" x14ac:dyDescent="0.25"/>
  <cols>
    <col min="1" max="1" width="3.5703125" style="49" customWidth="1"/>
    <col min="2" max="3" width="5" style="49" bestFit="1" customWidth="1"/>
    <col min="4" max="4" width="14.7109375" style="49" customWidth="1"/>
    <col min="5" max="5" width="6.28515625" style="49" customWidth="1"/>
    <col min="6" max="6" width="12.28515625" style="49" customWidth="1"/>
    <col min="7" max="7" width="13" style="49" bestFit="1" customWidth="1"/>
    <col min="8" max="8" width="9.5703125" style="49" bestFit="1" customWidth="1"/>
    <col min="9" max="9" width="11.85546875" style="49" bestFit="1" customWidth="1"/>
    <col min="10" max="10" width="14.85546875" style="49" customWidth="1"/>
    <col min="11" max="12" width="11.85546875" style="49" customWidth="1"/>
    <col min="13" max="13" width="12.28515625" style="49" customWidth="1"/>
    <col min="14" max="14" width="9.140625" style="49" bestFit="1" customWidth="1"/>
    <col min="15" max="15" width="12.28515625" style="49" bestFit="1" customWidth="1"/>
    <col min="16" max="16" width="12.28515625" style="49" customWidth="1"/>
    <col min="17" max="17" width="9.140625" style="49" bestFit="1" customWidth="1"/>
    <col min="18" max="18" width="12.28515625" style="49" bestFit="1" customWidth="1"/>
    <col min="19" max="19" width="12.28515625" style="49" customWidth="1"/>
    <col min="20" max="20" width="9.140625" style="49" bestFit="1" customWidth="1"/>
    <col min="21" max="21" width="12.28515625" style="49" bestFit="1" customWidth="1"/>
    <col min="22" max="22" width="12.28515625" style="49" customWidth="1"/>
    <col min="23" max="23" width="9.140625" style="49" bestFit="1" customWidth="1"/>
    <col min="24" max="24" width="12.28515625" style="49" bestFit="1" customWidth="1"/>
    <col min="25" max="27" width="12.28515625" style="49" hidden="1" customWidth="1"/>
    <col min="28" max="28" width="15.140625" style="49" bestFit="1" customWidth="1"/>
    <col min="29" max="29" width="7" style="49" customWidth="1"/>
    <col min="30" max="30" width="15.5703125" style="49" bestFit="1" customWidth="1"/>
    <col min="31" max="31" width="5.28515625" style="49" customWidth="1"/>
    <col min="32" max="32" width="14.28515625" style="73" bestFit="1" customWidth="1"/>
    <col min="33" max="33" width="8" style="49" customWidth="1"/>
    <col min="34" max="34" width="13.7109375" style="49" bestFit="1" customWidth="1"/>
    <col min="35" max="38" width="9.140625" style="49"/>
    <col min="39" max="39" width="4.85546875" style="49" customWidth="1"/>
    <col min="40" max="41" width="9.140625" style="49"/>
    <col min="42" max="42" width="12.5703125" style="215" bestFit="1" customWidth="1"/>
    <col min="43" max="16384" width="9.140625" style="49"/>
  </cols>
  <sheetData>
    <row r="1" spans="1:42" ht="11.25" customHeight="1" thickBot="1" x14ac:dyDescent="0.3"/>
    <row r="2" spans="1:42" ht="27.75" thickTop="1" thickBot="1" x14ac:dyDescent="0.45">
      <c r="D2" s="214" t="s">
        <v>216</v>
      </c>
      <c r="G2" s="246" t="s">
        <v>141</v>
      </c>
      <c r="H2" s="244">
        <v>7.0000000000000007E-2</v>
      </c>
      <c r="J2" s="214" t="s">
        <v>255</v>
      </c>
      <c r="M2" s="424"/>
      <c r="N2" s="425"/>
      <c r="AF2" s="535" t="s">
        <v>260</v>
      </c>
    </row>
    <row r="3" spans="1:42" ht="27.75" thickTop="1" thickBot="1" x14ac:dyDescent="0.45">
      <c r="D3" s="214"/>
      <c r="G3" s="247" t="s">
        <v>142</v>
      </c>
      <c r="H3" s="244">
        <v>0.03</v>
      </c>
      <c r="M3" s="424"/>
      <c r="N3" s="425"/>
      <c r="AF3" s="535"/>
    </row>
    <row r="4" spans="1:42" ht="15.75" thickTop="1" x14ac:dyDescent="0.25">
      <c r="G4" s="248"/>
      <c r="H4" s="250"/>
      <c r="M4" s="349"/>
      <c r="N4" s="426"/>
    </row>
    <row r="5" spans="1:42" x14ac:dyDescent="0.25">
      <c r="G5" s="248" t="s">
        <v>143</v>
      </c>
      <c r="H5" s="250">
        <v>5</v>
      </c>
      <c r="M5" s="349"/>
      <c r="N5" s="426"/>
      <c r="AG5" s="540"/>
      <c r="AH5" s="540"/>
      <c r="AI5" s="540"/>
      <c r="AJ5" s="540"/>
      <c r="AK5" s="540"/>
      <c r="AL5" s="540"/>
    </row>
    <row r="6" spans="1:42" x14ac:dyDescent="0.25">
      <c r="G6" s="248" t="s">
        <v>144</v>
      </c>
      <c r="H6" s="251">
        <f>H15+1-H5</f>
        <v>17</v>
      </c>
      <c r="M6" s="349"/>
      <c r="N6" s="427"/>
    </row>
    <row r="7" spans="1:42" x14ac:dyDescent="0.25">
      <c r="G7" s="248" t="s">
        <v>145</v>
      </c>
      <c r="H7" s="252">
        <f>1/(-PMT((1+H2)/(1+H3)-1,H5,1,0,1))</f>
        <v>4.6398839816425737</v>
      </c>
      <c r="M7" s="349"/>
      <c r="N7" s="428"/>
    </row>
    <row r="8" spans="1:42" x14ac:dyDescent="0.25">
      <c r="G8" s="249" t="s">
        <v>146</v>
      </c>
      <c r="H8" s="253">
        <f>1/(-PMT((1+H2)/(1+H3)-1,H6,1,0,1)*(1+H2)^0.5)</f>
        <v>12.328870733796299</v>
      </c>
      <c r="M8" s="349"/>
      <c r="N8" s="428"/>
    </row>
    <row r="10" spans="1:42" x14ac:dyDescent="0.25">
      <c r="C10" s="432"/>
      <c r="D10" s="590" t="s">
        <v>159</v>
      </c>
      <c r="E10" s="591"/>
      <c r="F10" s="591"/>
      <c r="G10" s="591"/>
      <c r="H10" s="591"/>
      <c r="I10" s="591"/>
      <c r="J10" s="591"/>
      <c r="K10" s="591"/>
      <c r="L10" s="591"/>
      <c r="M10" s="591"/>
      <c r="N10" s="591"/>
      <c r="O10" s="591"/>
      <c r="P10" s="591"/>
      <c r="Q10" s="591"/>
      <c r="R10" s="591"/>
      <c r="S10" s="591"/>
      <c r="T10" s="591"/>
      <c r="U10" s="591"/>
      <c r="V10" s="591"/>
      <c r="W10" s="591"/>
      <c r="X10" s="591"/>
      <c r="Y10" s="591"/>
      <c r="Z10" s="591"/>
      <c r="AA10" s="591"/>
      <c r="AB10" s="591"/>
      <c r="AC10" s="591"/>
      <c r="AD10" s="592"/>
      <c r="AE10" s="219"/>
      <c r="AF10" s="408"/>
      <c r="AG10" s="409"/>
      <c r="AH10" s="410"/>
    </row>
    <row r="11" spans="1:42" x14ac:dyDescent="0.25">
      <c r="C11" s="433" t="s">
        <v>166</v>
      </c>
      <c r="D11" s="436"/>
      <c r="E11" s="437" t="s">
        <v>155</v>
      </c>
      <c r="F11" s="438"/>
      <c r="G11" s="15"/>
      <c r="H11" s="326" t="s">
        <v>156</v>
      </c>
      <c r="I11" s="327"/>
      <c r="J11" s="15"/>
      <c r="K11" s="326" t="s">
        <v>157</v>
      </c>
      <c r="L11" s="327"/>
      <c r="M11" s="407"/>
      <c r="N11" s="308" t="s">
        <v>217</v>
      </c>
      <c r="O11" s="308"/>
      <c r="P11" s="407"/>
      <c r="Q11" s="308">
        <v>7.7374999999999998</v>
      </c>
      <c r="R11" s="308"/>
      <c r="S11" s="407"/>
      <c r="T11" s="308">
        <v>7.25</v>
      </c>
      <c r="U11" s="308"/>
      <c r="V11" s="407"/>
      <c r="W11" s="308">
        <v>7</v>
      </c>
      <c r="X11" s="458"/>
      <c r="Y11" s="308"/>
      <c r="Z11" s="308"/>
      <c r="AA11" s="458"/>
      <c r="AB11" s="577" t="s">
        <v>114</v>
      </c>
      <c r="AC11" s="577"/>
      <c r="AD11" s="578"/>
      <c r="AE11" s="217"/>
      <c r="AF11" s="576"/>
      <c r="AG11" s="577"/>
      <c r="AH11" s="578"/>
    </row>
    <row r="12" spans="1:42" x14ac:dyDescent="0.25">
      <c r="B12" s="49" t="s">
        <v>161</v>
      </c>
      <c r="C12" s="88" t="s">
        <v>165</v>
      </c>
      <c r="D12" s="593" t="s">
        <v>147</v>
      </c>
      <c r="E12" s="594"/>
      <c r="F12" s="609"/>
      <c r="G12" s="595"/>
      <c r="H12" s="596"/>
      <c r="I12" s="597"/>
      <c r="J12" s="621"/>
      <c r="K12" s="622"/>
      <c r="L12" s="623"/>
      <c r="M12" s="568" t="s">
        <v>160</v>
      </c>
      <c r="N12" s="569"/>
      <c r="O12" s="570"/>
      <c r="P12" s="568" t="s">
        <v>160</v>
      </c>
      <c r="Q12" s="569"/>
      <c r="R12" s="570"/>
      <c r="S12" s="568" t="s">
        <v>160</v>
      </c>
      <c r="T12" s="569"/>
      <c r="U12" s="570"/>
      <c r="V12" s="568" t="s">
        <v>160</v>
      </c>
      <c r="W12" s="569"/>
      <c r="X12" s="570"/>
      <c r="Y12" s="434"/>
      <c r="Z12" s="434"/>
      <c r="AA12" s="435"/>
      <c r="AB12" s="566" t="s">
        <v>53</v>
      </c>
      <c r="AC12" s="566"/>
      <c r="AD12" s="567"/>
      <c r="AE12" s="218"/>
      <c r="AF12" s="565" t="s">
        <v>226</v>
      </c>
      <c r="AG12" s="566"/>
      <c r="AH12" s="567"/>
    </row>
    <row r="13" spans="1:42" x14ac:dyDescent="0.25">
      <c r="B13" s="49" t="s">
        <v>162</v>
      </c>
      <c r="C13" s="433" t="s">
        <v>162</v>
      </c>
      <c r="D13" s="74" t="s">
        <v>49</v>
      </c>
      <c r="E13" s="75" t="s">
        <v>50</v>
      </c>
      <c r="F13" s="76" t="s">
        <v>51</v>
      </c>
      <c r="G13" s="77" t="s">
        <v>49</v>
      </c>
      <c r="H13" s="78" t="s">
        <v>50</v>
      </c>
      <c r="I13" s="296" t="s">
        <v>51</v>
      </c>
      <c r="J13" s="77" t="s">
        <v>49</v>
      </c>
      <c r="K13" s="78" t="s">
        <v>50</v>
      </c>
      <c r="L13" s="296" t="s">
        <v>51</v>
      </c>
      <c r="M13" s="74" t="s">
        <v>49</v>
      </c>
      <c r="N13" s="75" t="s">
        <v>50</v>
      </c>
      <c r="O13" s="75" t="s">
        <v>51</v>
      </c>
      <c r="P13" s="74" t="s">
        <v>49</v>
      </c>
      <c r="Q13" s="75" t="s">
        <v>50</v>
      </c>
      <c r="R13" s="75" t="s">
        <v>51</v>
      </c>
      <c r="S13" s="74" t="s">
        <v>49</v>
      </c>
      <c r="T13" s="75" t="s">
        <v>50</v>
      </c>
      <c r="U13" s="75" t="s">
        <v>51</v>
      </c>
      <c r="V13" s="74" t="s">
        <v>49</v>
      </c>
      <c r="W13" s="75" t="s">
        <v>50</v>
      </c>
      <c r="X13" s="75" t="s">
        <v>51</v>
      </c>
      <c r="Y13" s="75"/>
      <c r="Z13" s="75"/>
      <c r="AA13" s="76"/>
      <c r="AB13" s="123" t="s">
        <v>49</v>
      </c>
      <c r="AC13" s="123" t="s">
        <v>52</v>
      </c>
      <c r="AD13" s="294" t="s">
        <v>51</v>
      </c>
      <c r="AE13" s="88"/>
      <c r="AF13" s="122" t="s">
        <v>49</v>
      </c>
      <c r="AG13" s="123" t="s">
        <v>52</v>
      </c>
      <c r="AH13" s="294" t="s">
        <v>51</v>
      </c>
    </row>
    <row r="14" spans="1:42" ht="15.75" thickBot="1" x14ac:dyDescent="0.3">
      <c r="B14" s="49">
        <v>2013</v>
      </c>
      <c r="C14" s="49">
        <f>B14+3</f>
        <v>2016</v>
      </c>
      <c r="D14" s="87"/>
      <c r="E14" s="88"/>
      <c r="F14" s="89"/>
      <c r="G14" s="69"/>
      <c r="H14" s="70"/>
      <c r="I14" s="328"/>
      <c r="J14" s="306">
        <v>14550267</v>
      </c>
      <c r="K14" s="70"/>
      <c r="L14" s="328"/>
      <c r="M14" s="40"/>
      <c r="N14" s="115"/>
      <c r="O14" s="116"/>
      <c r="P14" s="87"/>
      <c r="Q14" s="88"/>
      <c r="R14" s="88"/>
      <c r="S14" s="87"/>
      <c r="T14" s="88"/>
      <c r="U14" s="88"/>
      <c r="V14" s="87"/>
      <c r="W14" s="88"/>
      <c r="X14" s="116"/>
      <c r="Y14" s="88"/>
      <c r="Z14" s="88"/>
      <c r="AA14" s="89"/>
      <c r="AB14" s="324"/>
      <c r="AC14" s="125"/>
      <c r="AD14" s="295"/>
      <c r="AE14" s="111"/>
      <c r="AF14" s="124"/>
      <c r="AG14" s="125"/>
      <c r="AH14" s="295"/>
    </row>
    <row r="15" spans="1:42" ht="16.5" thickTop="1" thickBot="1" x14ac:dyDescent="0.3">
      <c r="B15" s="49">
        <f>B14+1</f>
        <v>2014</v>
      </c>
      <c r="C15" s="49">
        <f t="shared" ref="C15:C45" si="0">B15+3</f>
        <v>2017</v>
      </c>
      <c r="D15" s="87"/>
      <c r="E15" s="75"/>
      <c r="F15" s="76"/>
      <c r="G15" s="329">
        <v>-39279139</v>
      </c>
      <c r="H15" s="292">
        <v>21</v>
      </c>
      <c r="I15" s="58">
        <f>IF(H15&gt;0,-PMT((1+H2)/(1+H3)-1,H6,G15,0,1)*((1+H2)^0.5)/H7,0)</f>
        <v>-686643.85700020962</v>
      </c>
      <c r="J15" s="307">
        <v>15919122</v>
      </c>
      <c r="K15" s="78"/>
      <c r="L15" s="296"/>
      <c r="M15" s="315">
        <f>317483254*0.069</f>
        <v>21906344.526000001</v>
      </c>
      <c r="N15" s="75"/>
      <c r="O15" s="76"/>
      <c r="P15" s="421">
        <f>181402822-174470583</f>
        <v>6932239</v>
      </c>
      <c r="Q15" s="440"/>
      <c r="R15" s="441"/>
      <c r="S15" s="421">
        <f>188610499-181402822</f>
        <v>7207677</v>
      </c>
      <c r="T15" s="440"/>
      <c r="U15" s="441"/>
      <c r="V15" s="421">
        <f>203896381-188610499</f>
        <v>15285882</v>
      </c>
      <c r="W15" s="75"/>
      <c r="X15" s="76"/>
      <c r="Y15" s="75"/>
      <c r="Z15" s="75"/>
      <c r="AA15" s="76"/>
      <c r="AB15" s="255">
        <f>173024064+M15</f>
        <v>194930408.52599999</v>
      </c>
      <c r="AC15" s="255"/>
      <c r="AD15" s="296"/>
      <c r="AE15" s="111"/>
      <c r="AF15" s="92"/>
      <c r="AG15" s="255"/>
      <c r="AH15" s="296"/>
    </row>
    <row r="16" spans="1:42" ht="16.5" thickTop="1" thickBot="1" x14ac:dyDescent="0.3">
      <c r="A16" s="49">
        <v>1</v>
      </c>
      <c r="B16" s="49">
        <f>B15+1</f>
        <v>2015</v>
      </c>
      <c r="C16" s="49">
        <f t="shared" si="0"/>
        <v>2018</v>
      </c>
      <c r="D16" s="293">
        <v>197276421</v>
      </c>
      <c r="E16" s="245">
        <v>17</v>
      </c>
      <c r="F16" s="55">
        <f>-PMT(1.075/1.03-1,E16,D16*1.075^0.5,0,1)</f>
        <v>16573433.159497097</v>
      </c>
      <c r="G16" s="54">
        <f>G15*1.075-I15*1.075^0.5</f>
        <v>-41513146.921434619</v>
      </c>
      <c r="H16" s="63">
        <f>H15-1</f>
        <v>20</v>
      </c>
      <c r="I16" s="55">
        <f t="shared" ref="I16:I32" si="1">-PMT(1.075/1.03-1,H16,G16*1.075^0.5,0,1)</f>
        <v>-3134467.9196733912</v>
      </c>
      <c r="J16" s="293">
        <v>17399912</v>
      </c>
      <c r="K16" s="245">
        <v>20</v>
      </c>
      <c r="L16" s="55">
        <f>-PMT(1.075/1.03-1,K16,J16*1.075^0.5,0,1)</f>
        <v>1313787.8001000094</v>
      </c>
      <c r="M16" s="299">
        <f>M15*1.07</f>
        <v>23439788.642820001</v>
      </c>
      <c r="N16" s="71">
        <v>20</v>
      </c>
      <c r="O16" s="303">
        <f>-PMT(1.07/1.03-1,N16,M16*1.07^0.5,0,1)</f>
        <v>1699720.305455948</v>
      </c>
      <c r="P16" s="299">
        <f>P15*1.07</f>
        <v>7417495.7300000004</v>
      </c>
      <c r="Q16" s="71">
        <v>20</v>
      </c>
      <c r="R16" s="303">
        <f>-PMT(1.07/1.03-1,Q16,P16*1.07^0.5,0,1)</f>
        <v>537874.64981156006</v>
      </c>
      <c r="S16" s="299">
        <f>S15*1.07</f>
        <v>7712214.3900000006</v>
      </c>
      <c r="T16" s="71">
        <v>20</v>
      </c>
      <c r="U16" s="303">
        <f>-PMT(1.07/1.03-1,T16,S16*1.07^0.5,0,1)</f>
        <v>559245.97266912402</v>
      </c>
      <c r="V16" s="299">
        <f>V15*1.07</f>
        <v>16355893.74</v>
      </c>
      <c r="W16" s="71">
        <v>20</v>
      </c>
      <c r="X16" s="303">
        <f>-PMT(1.07/1.03-1,W16,V16*1.07^0.5,0,1)</f>
        <v>1186036.49236716</v>
      </c>
      <c r="Y16" s="56"/>
      <c r="Z16" s="56"/>
      <c r="AA16" s="55"/>
      <c r="AB16" s="302">
        <f>D16+G16+J16+M16+P16+S16+V16</f>
        <v>228088578.58138537</v>
      </c>
      <c r="AC16" s="300">
        <v>20</v>
      </c>
      <c r="AD16" s="303">
        <f>F16+I16+L16+O16+R16+U16+X16</f>
        <v>18735630.460227508</v>
      </c>
      <c r="AE16" s="111"/>
      <c r="AF16" s="293">
        <f>AB16</f>
        <v>228088578.58138537</v>
      </c>
      <c r="AG16" s="245">
        <v>20</v>
      </c>
      <c r="AH16" s="55">
        <f>-PMT(1.075-1,AG16,AF16*1.075^0.5,0,1)</f>
        <v>21579120.716159776</v>
      </c>
      <c r="AP16" s="216">
        <v>500000</v>
      </c>
    </row>
    <row r="17" spans="1:42" ht="15.75" thickTop="1" x14ac:dyDescent="0.25">
      <c r="A17" s="49">
        <f>A16+1</f>
        <v>2</v>
      </c>
      <c r="B17" s="49">
        <f t="shared" ref="B17:B45" si="2">B16+1</f>
        <v>2016</v>
      </c>
      <c r="C17" s="49">
        <f t="shared" si="0"/>
        <v>2019</v>
      </c>
      <c r="D17" s="54">
        <f>D16*1.075-F16*1.075^0.5</f>
        <v>194888451.33823955</v>
      </c>
      <c r="E17" s="63">
        <f>E16-1</f>
        <v>16</v>
      </c>
      <c r="F17" s="55">
        <f t="shared" ref="F17:F32" si="3">-PMT(1.075/1.03-1,E17,D17*1.075^0.5,0,1)</f>
        <v>17070636.154282011</v>
      </c>
      <c r="G17" s="54">
        <f t="shared" ref="G17:G32" si="4">G16*1.075-I16*1.075^0.5</f>
        <v>-41376747.431032494</v>
      </c>
      <c r="H17" s="63">
        <f t="shared" ref="H17:H35" si="5">H16-1</f>
        <v>19</v>
      </c>
      <c r="I17" s="55">
        <f t="shared" si="1"/>
        <v>-3228501.9572635917</v>
      </c>
      <c r="J17" s="54">
        <f>J16*1.075-L16*1.075^0.5</f>
        <v>17342741.216625433</v>
      </c>
      <c r="K17" s="63">
        <f>K16-1</f>
        <v>19</v>
      </c>
      <c r="L17" s="55">
        <f t="shared" ref="L17:L35" si="6">-PMT(1.075/1.03-1,K17,J17*1.075^0.5,0,1)</f>
        <v>1353201.4341030093</v>
      </c>
      <c r="M17" s="54">
        <f>M16*1.07-O16*1.07^0.5</f>
        <v>23322369.49252937</v>
      </c>
      <c r="N17" s="63">
        <f>N16-1</f>
        <v>19</v>
      </c>
      <c r="O17" s="55">
        <f>-PMT(1.07/1.03-1,N17,M17*1.07^0.5,0,1)</f>
        <v>1750711.9146196267</v>
      </c>
      <c r="P17" s="54">
        <f>P16*1.07-R16*1.07^0.5</f>
        <v>7380338.567059123</v>
      </c>
      <c r="Q17" s="63">
        <f>Q16-1</f>
        <v>19</v>
      </c>
      <c r="R17" s="55">
        <f>-PMT(1.07/1.03-1,Q17,P17*1.07^0.5,0,1)</f>
        <v>554010.88930590695</v>
      </c>
      <c r="S17" s="54">
        <f>S16*1.07-U16*1.07^0.5</f>
        <v>7673580.8649997497</v>
      </c>
      <c r="T17" s="63">
        <f>T16-1</f>
        <v>19</v>
      </c>
      <c r="U17" s="55">
        <f>-PMT(1.07/1.03-1,T17,S17*1.07^0.5,0,1)</f>
        <v>576023.35184919776</v>
      </c>
      <c r="V17" s="54">
        <f>V16*1.07-X16*1.07^0.5</f>
        <v>16273960.614473164</v>
      </c>
      <c r="W17" s="63">
        <f>W16-1</f>
        <v>19</v>
      </c>
      <c r="X17" s="55">
        <f>-PMT(1.07/1.03-1,W17,V17*1.07^0.5,0,1)</f>
        <v>1221617.587138175</v>
      </c>
      <c r="Y17" s="56"/>
      <c r="Z17" s="56"/>
      <c r="AA17" s="55"/>
      <c r="AB17" s="56">
        <f>D17+G17+J17+M17+P17+S17+V17</f>
        <v>225504694.66289389</v>
      </c>
      <c r="AC17" s="63">
        <f>AC16-1</f>
        <v>19</v>
      </c>
      <c r="AD17" s="55">
        <f t="shared" ref="AD17:AD35" si="7">F17+I17+L17+O17+R17+U17+X17</f>
        <v>19297699.374034338</v>
      </c>
      <c r="AE17" s="111"/>
      <c r="AF17" s="54">
        <f>AF16*1.07375-AH16*1.07375^0.5</f>
        <v>222549414.44609061</v>
      </c>
      <c r="AG17" s="63">
        <f>AG16-1</f>
        <v>19</v>
      </c>
      <c r="AH17" s="55">
        <f>-PMT(1.07375-1,AG17,AF17*1.07375^0.5,0,1)</f>
        <v>21367709.614162959</v>
      </c>
      <c r="AP17" s="216">
        <v>500000</v>
      </c>
    </row>
    <row r="18" spans="1:42" x14ac:dyDescent="0.25">
      <c r="A18" s="49">
        <f t="shared" ref="A18:A45" si="8">A17+1</f>
        <v>3</v>
      </c>
      <c r="B18" s="49">
        <f t="shared" si="2"/>
        <v>2017</v>
      </c>
      <c r="C18" s="49">
        <f t="shared" si="0"/>
        <v>2020</v>
      </c>
      <c r="D18" s="54">
        <f t="shared" ref="D18:D32" si="9">D17*1.075-F17*1.075^0.5</f>
        <v>191805872.91474429</v>
      </c>
      <c r="E18" s="63">
        <f t="shared" ref="E18:E32" si="10">E17-1</f>
        <v>15</v>
      </c>
      <c r="F18" s="55">
        <f t="shared" si="3"/>
        <v>17582755.23891047</v>
      </c>
      <c r="G18" s="54">
        <f t="shared" si="4"/>
        <v>-41132621.41356492</v>
      </c>
      <c r="H18" s="63">
        <f t="shared" si="5"/>
        <v>18</v>
      </c>
      <c r="I18" s="55">
        <f t="shared" si="1"/>
        <v>-3325357.0159815</v>
      </c>
      <c r="J18" s="54">
        <f t="shared" ref="J18:J35" si="11">J17*1.075-L17*1.075^0.5</f>
        <v>17240417.69899654</v>
      </c>
      <c r="K18" s="63">
        <f t="shared" ref="K18:K35" si="12">K17-1</f>
        <v>18</v>
      </c>
      <c r="L18" s="55">
        <f t="shared" si="6"/>
        <v>1393797.4771260999</v>
      </c>
      <c r="M18" s="54">
        <f t="shared" ref="M18:M35" si="13">M17*1.07-O17*1.07^0.5</f>
        <v>23143984.871059753</v>
      </c>
      <c r="N18" s="63">
        <f t="shared" ref="N18:N35" si="14">N17-1</f>
        <v>18</v>
      </c>
      <c r="O18" s="55">
        <f t="shared" ref="O18:O35" si="15">-PMT(1.07/1.03-1,N18,M18*1.07^0.5,0,1)</f>
        <v>1803233.2720582155</v>
      </c>
      <c r="P18" s="54">
        <f>P17*1.07-R17*1.07^0.5</f>
        <v>7323888.9467911571</v>
      </c>
      <c r="Q18" s="63">
        <f t="shared" ref="Q18:Q35" si="16">Q17-1</f>
        <v>18</v>
      </c>
      <c r="R18" s="55">
        <f t="shared" ref="R18:R35" si="17">-PMT(1.07/1.03-1,Q18,P18*1.07^0.5,0,1)</f>
        <v>570631.21598508407</v>
      </c>
      <c r="S18" s="54">
        <f>S17*1.07-U17*1.07^0.5</f>
        <v>7614888.3372804746</v>
      </c>
      <c r="T18" s="63">
        <f t="shared" ref="T18:T35" si="18">T17-1</f>
        <v>18</v>
      </c>
      <c r="U18" s="55">
        <f t="shared" ref="U18:U35" si="19">-PMT(1.07/1.03-1,T18,S18*1.07^0.5,0,1)</f>
        <v>593304.05240467377</v>
      </c>
      <c r="V18" s="54">
        <f t="shared" ref="V18:V35" si="20">V17*1.07-X17*1.07^0.5</f>
        <v>16149486.799539644</v>
      </c>
      <c r="W18" s="63">
        <f t="shared" ref="W18:W35" si="21">W17-1</f>
        <v>18</v>
      </c>
      <c r="X18" s="55">
        <f t="shared" ref="X18:X35" si="22">-PMT(1.07/1.03-1,W18,V18*1.07^0.5,0,1)</f>
        <v>1258266.1147523201</v>
      </c>
      <c r="Y18" s="56"/>
      <c r="Z18" s="56"/>
      <c r="AA18" s="55"/>
      <c r="AB18" s="56">
        <f t="shared" ref="AB18:AB35" si="23">D18+G18+J18+M18+P18+S18+V18</f>
        <v>222145918.15484697</v>
      </c>
      <c r="AC18" s="63">
        <f t="shared" ref="AC18:AC45" si="24">AC17-1</f>
        <v>18</v>
      </c>
      <c r="AD18" s="55">
        <f t="shared" si="7"/>
        <v>19876630.355255362</v>
      </c>
      <c r="AE18" s="111"/>
      <c r="AF18" s="54">
        <f>AF17*1.0725-AH17*1.0725^0.5</f>
        <v>216555510.18625218</v>
      </c>
      <c r="AG18" s="63">
        <f t="shared" ref="AG18:AG35" si="25">AG17-1</f>
        <v>18</v>
      </c>
      <c r="AH18" s="55">
        <f>-PMT(1.0725-1,AG18,AF18*1.0725^0.5,0,1)</f>
        <v>21164566.892692342</v>
      </c>
      <c r="AP18" s="216">
        <v>500000</v>
      </c>
    </row>
    <row r="19" spans="1:42" x14ac:dyDescent="0.25">
      <c r="A19" s="49">
        <f t="shared" si="8"/>
        <v>4</v>
      </c>
      <c r="B19" s="49">
        <f t="shared" si="2"/>
        <v>2018</v>
      </c>
      <c r="C19" s="49">
        <f t="shared" si="0"/>
        <v>2021</v>
      </c>
      <c r="D19" s="54">
        <f t="shared" si="9"/>
        <v>187961124.74127096</v>
      </c>
      <c r="E19" s="63">
        <f t="shared" si="10"/>
        <v>14</v>
      </c>
      <c r="F19" s="55">
        <f t="shared" si="3"/>
        <v>18110237.896077786</v>
      </c>
      <c r="G19" s="54">
        <f t="shared" si="4"/>
        <v>-40769764.482543424</v>
      </c>
      <c r="H19" s="63">
        <f t="shared" si="5"/>
        <v>17</v>
      </c>
      <c r="I19" s="55">
        <f t="shared" si="1"/>
        <v>-3425117.7264609449</v>
      </c>
      <c r="J19" s="54">
        <f t="shared" si="11"/>
        <v>17088329.044279203</v>
      </c>
      <c r="K19" s="63">
        <f t="shared" si="12"/>
        <v>17</v>
      </c>
      <c r="L19" s="55">
        <f t="shared" si="6"/>
        <v>1435611.4014398823</v>
      </c>
      <c r="M19" s="54">
        <f t="shared" si="13"/>
        <v>22898784.81150886</v>
      </c>
      <c r="N19" s="63">
        <f t="shared" si="14"/>
        <v>17</v>
      </c>
      <c r="O19" s="55">
        <f t="shared" si="15"/>
        <v>1857330.2702199619</v>
      </c>
      <c r="P19" s="54">
        <f t="shared" ref="P19:P35" si="26">P18*1.07-R18*1.07^0.5</f>
        <v>7246295.6535055712</v>
      </c>
      <c r="Q19" s="63">
        <f t="shared" si="16"/>
        <v>17</v>
      </c>
      <c r="R19" s="55">
        <f t="shared" si="17"/>
        <v>587750.15246463672</v>
      </c>
      <c r="S19" s="54">
        <f t="shared" ref="S19:S35" si="27">S18*1.07-U18*1.07^0.5</f>
        <v>7534212.0369727714</v>
      </c>
      <c r="T19" s="63">
        <f t="shared" si="18"/>
        <v>17</v>
      </c>
      <c r="U19" s="55">
        <f t="shared" si="19"/>
        <v>611103.17397681426</v>
      </c>
      <c r="V19" s="54">
        <f t="shared" si="20"/>
        <v>15978390.28582238</v>
      </c>
      <c r="W19" s="63">
        <f t="shared" si="21"/>
        <v>17</v>
      </c>
      <c r="X19" s="55">
        <f t="shared" si="22"/>
        <v>1296014.09819489</v>
      </c>
      <c r="Y19" s="56"/>
      <c r="Z19" s="56"/>
      <c r="AA19" s="55"/>
      <c r="AB19" s="56">
        <f t="shared" si="23"/>
        <v>217937372.09081635</v>
      </c>
      <c r="AC19" s="63">
        <f t="shared" si="24"/>
        <v>17</v>
      </c>
      <c r="AD19" s="55">
        <f t="shared" si="7"/>
        <v>20472929.265913025</v>
      </c>
      <c r="AE19" s="111"/>
      <c r="AF19" s="54">
        <f>AF18*1.07-AH18*1.07^0.5</f>
        <v>209821597.67297542</v>
      </c>
      <c r="AG19" s="63">
        <f t="shared" si="25"/>
        <v>17</v>
      </c>
      <c r="AH19" s="55">
        <f>-PMT(1.07-1,AG19,AF19*1.07^0.5,0,1)</f>
        <v>20776150.949135657</v>
      </c>
      <c r="AP19" s="216">
        <v>500000</v>
      </c>
    </row>
    <row r="20" spans="1:42" x14ac:dyDescent="0.25">
      <c r="A20" s="49">
        <f t="shared" si="8"/>
        <v>5</v>
      </c>
      <c r="B20" s="49">
        <f t="shared" si="2"/>
        <v>2019</v>
      </c>
      <c r="C20" s="49">
        <f t="shared" si="0"/>
        <v>2022</v>
      </c>
      <c r="D20" s="54">
        <f t="shared" si="9"/>
        <v>183281114.79552478</v>
      </c>
      <c r="E20" s="63">
        <f t="shared" si="10"/>
        <v>13</v>
      </c>
      <c r="F20" s="55">
        <f t="shared" si="3"/>
        <v>18653545.032960124</v>
      </c>
      <c r="G20" s="54">
        <f t="shared" si="4"/>
        <v>-40276259.175584152</v>
      </c>
      <c r="H20" s="63">
        <f t="shared" si="5"/>
        <v>16</v>
      </c>
      <c r="I20" s="55">
        <f t="shared" si="1"/>
        <v>-3527871.2582547744</v>
      </c>
      <c r="J20" s="54">
        <f t="shared" si="11"/>
        <v>16881480.140993807</v>
      </c>
      <c r="K20" s="63">
        <f t="shared" si="12"/>
        <v>16</v>
      </c>
      <c r="L20" s="55">
        <f t="shared" si="6"/>
        <v>1478679.7434830796</v>
      </c>
      <c r="M20" s="54">
        <f t="shared" si="13"/>
        <v>22580462.377773654</v>
      </c>
      <c r="N20" s="63">
        <f t="shared" si="14"/>
        <v>16</v>
      </c>
      <c r="O20" s="55">
        <f t="shared" si="15"/>
        <v>1913050.1783265611</v>
      </c>
      <c r="P20" s="54">
        <f t="shared" si="26"/>
        <v>7145562.8641031655</v>
      </c>
      <c r="Q20" s="63">
        <f t="shared" si="16"/>
        <v>16</v>
      </c>
      <c r="R20" s="55">
        <f t="shared" si="17"/>
        <v>605382.65703857574</v>
      </c>
      <c r="S20" s="54">
        <f t="shared" si="27"/>
        <v>7429476.841126008</v>
      </c>
      <c r="T20" s="63">
        <f t="shared" si="18"/>
        <v>16</v>
      </c>
      <c r="U20" s="55">
        <f t="shared" si="19"/>
        <v>629436.26919611846</v>
      </c>
      <c r="V20" s="54">
        <f t="shared" si="20"/>
        <v>15756270.198454354</v>
      </c>
      <c r="W20" s="63">
        <f t="shared" si="21"/>
        <v>16</v>
      </c>
      <c r="X20" s="55">
        <f t="shared" si="22"/>
        <v>1334894.5211407363</v>
      </c>
      <c r="Y20" s="56"/>
      <c r="Z20" s="56"/>
      <c r="AA20" s="55"/>
      <c r="AB20" s="56">
        <f t="shared" si="23"/>
        <v>212798108.0423916</v>
      </c>
      <c r="AC20" s="63">
        <f t="shared" si="24"/>
        <v>16</v>
      </c>
      <c r="AD20" s="55">
        <f t="shared" si="7"/>
        <v>21087117.143890422</v>
      </c>
      <c r="AE20" s="111"/>
      <c r="AF20" s="54">
        <f>AF19*1.07-AH19*1.07^0.5</f>
        <v>203018091.85992205</v>
      </c>
      <c r="AG20" s="63">
        <f t="shared" si="25"/>
        <v>16</v>
      </c>
      <c r="AH20" s="55">
        <f t="shared" ref="AH20:AH35" si="28">-PMT(1.07-1,AG20,AF20*1.07^0.5,0,1)</f>
        <v>20776150.949135654</v>
      </c>
      <c r="AP20" s="216">
        <v>500000</v>
      </c>
    </row>
    <row r="21" spans="1:42" x14ac:dyDescent="0.25">
      <c r="A21" s="49">
        <f t="shared" si="8"/>
        <v>6</v>
      </c>
      <c r="B21" s="49">
        <f t="shared" si="2"/>
        <v>2020</v>
      </c>
      <c r="C21" s="49">
        <f t="shared" si="0"/>
        <v>2023</v>
      </c>
      <c r="D21" s="54">
        <f t="shared" si="9"/>
        <v>177686791.27480736</v>
      </c>
      <c r="E21" s="63">
        <f t="shared" si="10"/>
        <v>12</v>
      </c>
      <c r="F21" s="55">
        <f t="shared" si="3"/>
        <v>19213151.383948922</v>
      </c>
      <c r="G21" s="54">
        <f t="shared" si="4"/>
        <v>-39639203.84130843</v>
      </c>
      <c r="H21" s="63">
        <f t="shared" si="5"/>
        <v>15</v>
      </c>
      <c r="I21" s="55">
        <f t="shared" si="1"/>
        <v>-3633707.396002417</v>
      </c>
      <c r="J21" s="54">
        <f t="shared" si="11"/>
        <v>16614463.362513814</v>
      </c>
      <c r="K21" s="63">
        <f t="shared" si="12"/>
        <v>15</v>
      </c>
      <c r="L21" s="55">
        <f t="shared" si="6"/>
        <v>1523040.1357875718</v>
      </c>
      <c r="M21" s="54">
        <f t="shared" si="13"/>
        <v>22182220.252560757</v>
      </c>
      <c r="N21" s="63">
        <f t="shared" si="14"/>
        <v>15</v>
      </c>
      <c r="O21" s="55">
        <f t="shared" si="15"/>
        <v>1970441.6836763578</v>
      </c>
      <c r="P21" s="54">
        <f t="shared" si="26"/>
        <v>7019539.5748881567</v>
      </c>
      <c r="Q21" s="63">
        <f t="shared" si="16"/>
        <v>15</v>
      </c>
      <c r="R21" s="55">
        <f t="shared" si="17"/>
        <v>623544.13674973312</v>
      </c>
      <c r="S21" s="54">
        <f t="shared" si="27"/>
        <v>7298446.2804169264</v>
      </c>
      <c r="T21" s="63">
        <f t="shared" si="18"/>
        <v>15</v>
      </c>
      <c r="U21" s="55">
        <f t="shared" si="19"/>
        <v>648319.35727200215</v>
      </c>
      <c r="V21" s="54">
        <f t="shared" si="20"/>
        <v>15478383.482749302</v>
      </c>
      <c r="W21" s="63">
        <f t="shared" si="21"/>
        <v>15</v>
      </c>
      <c r="X21" s="55">
        <f t="shared" si="22"/>
        <v>1374941.356774959</v>
      </c>
      <c r="Y21" s="56"/>
      <c r="Z21" s="56"/>
      <c r="AA21" s="55"/>
      <c r="AB21" s="56">
        <f t="shared" si="23"/>
        <v>206640640.38662791</v>
      </c>
      <c r="AC21" s="63">
        <f t="shared" si="24"/>
        <v>15</v>
      </c>
      <c r="AD21" s="55">
        <f t="shared" si="7"/>
        <v>21719730.65820713</v>
      </c>
      <c r="AE21" s="111"/>
      <c r="AF21" s="54">
        <f>AF20*1.07-AH20*1.07^0.5</f>
        <v>195738340.63995495</v>
      </c>
      <c r="AG21" s="63">
        <f t="shared" si="25"/>
        <v>15</v>
      </c>
      <c r="AH21" s="55">
        <f t="shared" si="28"/>
        <v>20776150.949135657</v>
      </c>
      <c r="AP21" s="216">
        <v>500000</v>
      </c>
    </row>
    <row r="22" spans="1:42" x14ac:dyDescent="0.25">
      <c r="A22" s="49">
        <f t="shared" si="8"/>
        <v>7</v>
      </c>
      <c r="B22" s="49">
        <f t="shared" si="2"/>
        <v>2021</v>
      </c>
      <c r="C22" s="49">
        <f t="shared" si="0"/>
        <v>2024</v>
      </c>
      <c r="D22" s="54">
        <f t="shared" si="9"/>
        <v>171092681.27612472</v>
      </c>
      <c r="E22" s="63">
        <f t="shared" si="10"/>
        <v>11</v>
      </c>
      <c r="F22" s="55">
        <f t="shared" si="3"/>
        <v>19789545.925467394</v>
      </c>
      <c r="G22" s="54">
        <f t="shared" si="4"/>
        <v>-38844636.113788702</v>
      </c>
      <c r="H22" s="63">
        <f t="shared" si="5"/>
        <v>14</v>
      </c>
      <c r="I22" s="55">
        <f t="shared" si="1"/>
        <v>-3742718.6178824897</v>
      </c>
      <c r="J22" s="54">
        <f t="shared" si="11"/>
        <v>16281426.491976185</v>
      </c>
      <c r="K22" s="63">
        <f t="shared" si="12"/>
        <v>14</v>
      </c>
      <c r="L22" s="55">
        <f t="shared" si="6"/>
        <v>1568731.3398611988</v>
      </c>
      <c r="M22" s="54">
        <f t="shared" si="13"/>
        <v>21696734.943833247</v>
      </c>
      <c r="N22" s="63">
        <f t="shared" si="14"/>
        <v>14</v>
      </c>
      <c r="O22" s="55">
        <f t="shared" si="15"/>
        <v>2029554.9341866481</v>
      </c>
      <c r="P22" s="54">
        <f t="shared" si="26"/>
        <v>6865908.2747370303</v>
      </c>
      <c r="Q22" s="63">
        <f t="shared" si="16"/>
        <v>14</v>
      </c>
      <c r="R22" s="55">
        <f t="shared" si="17"/>
        <v>642250.46085222496</v>
      </c>
      <c r="S22" s="54">
        <f t="shared" si="27"/>
        <v>7138710.7622705726</v>
      </c>
      <c r="T22" s="63">
        <f t="shared" si="18"/>
        <v>14</v>
      </c>
      <c r="U22" s="55">
        <f t="shared" si="19"/>
        <v>667768.93799016229</v>
      </c>
      <c r="V22" s="54">
        <f t="shared" si="20"/>
        <v>15139619.928056987</v>
      </c>
      <c r="W22" s="63">
        <f t="shared" si="21"/>
        <v>14</v>
      </c>
      <c r="X22" s="55">
        <f t="shared" si="22"/>
        <v>1416189.5974782074</v>
      </c>
      <c r="Y22" s="56"/>
      <c r="Z22" s="56"/>
      <c r="AA22" s="55"/>
      <c r="AB22" s="56">
        <f t="shared" si="23"/>
        <v>199370445.56321001</v>
      </c>
      <c r="AC22" s="63">
        <f t="shared" si="24"/>
        <v>14</v>
      </c>
      <c r="AD22" s="55">
        <f t="shared" si="7"/>
        <v>22371322.577953346</v>
      </c>
      <c r="AE22" s="111"/>
      <c r="AF22" s="54">
        <f t="shared" ref="AF22:AF35" si="29">AF21*1.07-AH21*1.07^0.5</f>
        <v>187949006.83459017</v>
      </c>
      <c r="AG22" s="63">
        <f t="shared" si="25"/>
        <v>14</v>
      </c>
      <c r="AH22" s="55">
        <f t="shared" si="28"/>
        <v>20776150.94913565</v>
      </c>
      <c r="AP22" s="216">
        <v>500000</v>
      </c>
    </row>
    <row r="23" spans="1:42" x14ac:dyDescent="0.25">
      <c r="A23" s="49">
        <f t="shared" si="8"/>
        <v>8</v>
      </c>
      <c r="B23" s="49">
        <f t="shared" si="2"/>
        <v>2022</v>
      </c>
      <c r="C23" s="49">
        <f t="shared" si="0"/>
        <v>2025</v>
      </c>
      <c r="D23" s="54">
        <f t="shared" si="9"/>
        <v>163406394.44721207</v>
      </c>
      <c r="E23" s="63">
        <f t="shared" si="10"/>
        <v>10</v>
      </c>
      <c r="F23" s="55">
        <f t="shared" si="3"/>
        <v>20383232.303231418</v>
      </c>
      <c r="G23" s="54">
        <f t="shared" si="4"/>
        <v>-37877450.566236451</v>
      </c>
      <c r="H23" s="63">
        <f t="shared" si="5"/>
        <v>13</v>
      </c>
      <c r="I23" s="55">
        <f t="shared" si="1"/>
        <v>-3855000.1764189648</v>
      </c>
      <c r="J23" s="54">
        <f t="shared" si="11"/>
        <v>15876038.207466448</v>
      </c>
      <c r="K23" s="63">
        <f t="shared" si="12"/>
        <v>13</v>
      </c>
      <c r="L23" s="55">
        <f t="shared" si="6"/>
        <v>1615793.2800570345</v>
      </c>
      <c r="M23" s="54">
        <f t="shared" si="13"/>
        <v>21116118.441702608</v>
      </c>
      <c r="N23" s="63">
        <f t="shared" si="14"/>
        <v>13</v>
      </c>
      <c r="O23" s="55">
        <f t="shared" si="15"/>
        <v>2090441.5822122484</v>
      </c>
      <c r="P23" s="54">
        <f t="shared" si="26"/>
        <v>6682172.8114635274</v>
      </c>
      <c r="Q23" s="63">
        <f t="shared" si="16"/>
        <v>13</v>
      </c>
      <c r="R23" s="55">
        <f t="shared" si="17"/>
        <v>661517.97467779205</v>
      </c>
      <c r="S23" s="54">
        <f t="shared" si="27"/>
        <v>6947674.9551207069</v>
      </c>
      <c r="T23" s="63">
        <f t="shared" si="18"/>
        <v>13</v>
      </c>
      <c r="U23" s="55">
        <f t="shared" si="19"/>
        <v>687802.0061298674</v>
      </c>
      <c r="V23" s="54">
        <f t="shared" si="20"/>
        <v>14734475.412581669</v>
      </c>
      <c r="W23" s="63">
        <f t="shared" si="21"/>
        <v>13</v>
      </c>
      <c r="X23" s="55">
        <f t="shared" si="22"/>
        <v>1458675.2854025543</v>
      </c>
      <c r="Y23" s="56"/>
      <c r="Z23" s="56"/>
      <c r="AA23" s="55"/>
      <c r="AB23" s="56">
        <f t="shared" si="23"/>
        <v>190885423.70931059</v>
      </c>
      <c r="AC23" s="63">
        <f t="shared" si="24"/>
        <v>13</v>
      </c>
      <c r="AD23" s="55">
        <f t="shared" si="7"/>
        <v>23042462.255291954</v>
      </c>
      <c r="AE23" s="111"/>
      <c r="AF23" s="54">
        <f t="shared" si="29"/>
        <v>179614419.66284984</v>
      </c>
      <c r="AG23" s="63">
        <f t="shared" si="25"/>
        <v>13</v>
      </c>
      <c r="AH23" s="55">
        <f t="shared" si="28"/>
        <v>20776150.94913565</v>
      </c>
      <c r="AP23" s="216">
        <v>500000</v>
      </c>
    </row>
    <row r="24" spans="1:42" x14ac:dyDescent="0.25">
      <c r="A24" s="49">
        <f t="shared" si="8"/>
        <v>9</v>
      </c>
      <c r="B24" s="49">
        <f t="shared" si="2"/>
        <v>2023</v>
      </c>
      <c r="C24" s="49">
        <f t="shared" si="0"/>
        <v>2026</v>
      </c>
      <c r="D24" s="54">
        <f t="shared" si="9"/>
        <v>154528088.96839228</v>
      </c>
      <c r="E24" s="63">
        <f t="shared" si="10"/>
        <v>9</v>
      </c>
      <c r="F24" s="55">
        <f t="shared" si="3"/>
        <v>20994729.272328351</v>
      </c>
      <c r="G24" s="54">
        <f t="shared" si="4"/>
        <v>-36721310.104935192</v>
      </c>
      <c r="H24" s="63">
        <f t="shared" si="5"/>
        <v>12</v>
      </c>
      <c r="I24" s="55">
        <f t="shared" si="1"/>
        <v>-3970650.1817115331</v>
      </c>
      <c r="J24" s="54">
        <f t="shared" si="11"/>
        <v>15391450.943476243</v>
      </c>
      <c r="K24" s="63">
        <f t="shared" si="12"/>
        <v>12</v>
      </c>
      <c r="L24" s="55">
        <f t="shared" si="6"/>
        <v>1664267.0784587455</v>
      </c>
      <c r="M24" s="54">
        <f t="shared" si="13"/>
        <v>20431877.145976856</v>
      </c>
      <c r="N24" s="63">
        <f t="shared" si="14"/>
        <v>12</v>
      </c>
      <c r="O24" s="55">
        <f t="shared" si="15"/>
        <v>2153154.829678616</v>
      </c>
      <c r="P24" s="54">
        <f t="shared" si="26"/>
        <v>6465645.3944857251</v>
      </c>
      <c r="Q24" s="63">
        <f t="shared" si="16"/>
        <v>12</v>
      </c>
      <c r="R24" s="55">
        <f t="shared" si="17"/>
        <v>681363.51391812577</v>
      </c>
      <c r="S24" s="54">
        <f t="shared" si="27"/>
        <v>6722544.274655086</v>
      </c>
      <c r="T24" s="63">
        <f t="shared" si="18"/>
        <v>12</v>
      </c>
      <c r="U24" s="55">
        <f t="shared" si="19"/>
        <v>708436.06631376338</v>
      </c>
      <c r="V24" s="54">
        <f t="shared" si="20"/>
        <v>14257023.243709898</v>
      </c>
      <c r="W24" s="63">
        <f t="shared" si="21"/>
        <v>12</v>
      </c>
      <c r="X24" s="55">
        <f t="shared" si="22"/>
        <v>1502435.5439646312</v>
      </c>
      <c r="Y24" s="56"/>
      <c r="Z24" s="56"/>
      <c r="AA24" s="55"/>
      <c r="AB24" s="56">
        <f t="shared" si="23"/>
        <v>181075319.86576086</v>
      </c>
      <c r="AC24" s="63">
        <f t="shared" si="24"/>
        <v>12</v>
      </c>
      <c r="AD24" s="55">
        <f t="shared" si="7"/>
        <v>23733736.122950699</v>
      </c>
      <c r="AE24" s="111"/>
      <c r="AF24" s="54">
        <f t="shared" si="29"/>
        <v>170696411.38908768</v>
      </c>
      <c r="AG24" s="63">
        <f t="shared" si="25"/>
        <v>12</v>
      </c>
      <c r="AH24" s="55">
        <f t="shared" si="28"/>
        <v>20776150.949135642</v>
      </c>
      <c r="AP24" s="216">
        <v>500000</v>
      </c>
    </row>
    <row r="25" spans="1:42" x14ac:dyDescent="0.25">
      <c r="A25" s="49">
        <f t="shared" si="8"/>
        <v>10</v>
      </c>
      <c r="B25" s="49">
        <f t="shared" si="2"/>
        <v>2024</v>
      </c>
      <c r="C25" s="49">
        <f t="shared" si="0"/>
        <v>2027</v>
      </c>
      <c r="D25" s="54">
        <f t="shared" si="9"/>
        <v>144349897.02679023</v>
      </c>
      <c r="E25" s="63">
        <f t="shared" si="10"/>
        <v>8</v>
      </c>
      <c r="F25" s="55">
        <f t="shared" si="3"/>
        <v>21624571.150498204</v>
      </c>
      <c r="G25" s="54">
        <f t="shared" si="4"/>
        <v>-35358550.631423265</v>
      </c>
      <c r="H25" s="63">
        <f t="shared" si="5"/>
        <v>11</v>
      </c>
      <c r="I25" s="55">
        <f t="shared" si="1"/>
        <v>-4089769.6871628789</v>
      </c>
      <c r="J25" s="54">
        <f t="shared" si="11"/>
        <v>14820260.930800268</v>
      </c>
      <c r="K25" s="63">
        <f t="shared" si="12"/>
        <v>11</v>
      </c>
      <c r="L25" s="55">
        <f t="shared" si="6"/>
        <v>1714195.0908125076</v>
      </c>
      <c r="M25" s="54">
        <f t="shared" si="13"/>
        <v>19634867.871950954</v>
      </c>
      <c r="N25" s="63">
        <f t="shared" si="14"/>
        <v>11</v>
      </c>
      <c r="O25" s="55">
        <f t="shared" si="15"/>
        <v>2217749.4745689747</v>
      </c>
      <c r="P25" s="54">
        <f t="shared" si="26"/>
        <v>6213432.67290607</v>
      </c>
      <c r="Q25" s="63">
        <f t="shared" si="16"/>
        <v>11</v>
      </c>
      <c r="R25" s="55">
        <f t="shared" si="17"/>
        <v>701804.41933566972</v>
      </c>
      <c r="S25" s="54">
        <f t="shared" si="27"/>
        <v>6460310.40873715</v>
      </c>
      <c r="T25" s="63">
        <f t="shared" si="18"/>
        <v>11</v>
      </c>
      <c r="U25" s="55">
        <f t="shared" si="19"/>
        <v>729689.14830317628</v>
      </c>
      <c r="V25" s="54">
        <f t="shared" si="20"/>
        <v>13700883.459584529</v>
      </c>
      <c r="W25" s="63">
        <f t="shared" si="21"/>
        <v>11</v>
      </c>
      <c r="X25" s="55">
        <f t="shared" si="22"/>
        <v>1547508.6102835701</v>
      </c>
      <c r="Y25" s="56"/>
      <c r="Z25" s="56"/>
      <c r="AA25" s="55"/>
      <c r="AB25" s="56">
        <f t="shared" si="23"/>
        <v>169821101.73934597</v>
      </c>
      <c r="AC25" s="63">
        <f t="shared" si="24"/>
        <v>11</v>
      </c>
      <c r="AD25" s="55">
        <f t="shared" si="7"/>
        <v>24445748.206639223</v>
      </c>
      <c r="AE25" s="111"/>
      <c r="AF25" s="54">
        <f t="shared" si="29"/>
        <v>161154142.5361622</v>
      </c>
      <c r="AG25" s="63">
        <f t="shared" si="25"/>
        <v>11</v>
      </c>
      <c r="AH25" s="55">
        <f t="shared" si="28"/>
        <v>20776150.94913565</v>
      </c>
      <c r="AP25" s="216">
        <v>500000</v>
      </c>
    </row>
    <row r="26" spans="1:42" x14ac:dyDescent="0.25">
      <c r="A26" s="49">
        <f t="shared" si="8"/>
        <v>11</v>
      </c>
      <c r="B26" s="49">
        <f t="shared" si="2"/>
        <v>2025</v>
      </c>
      <c r="C26" s="49">
        <f t="shared" si="0"/>
        <v>2028</v>
      </c>
      <c r="D26" s="54">
        <f t="shared" si="9"/>
        <v>132755306.73114106</v>
      </c>
      <c r="E26" s="63">
        <f t="shared" si="10"/>
        <v>7</v>
      </c>
      <c r="F26" s="55">
        <f t="shared" si="3"/>
        <v>22273308.28501315</v>
      </c>
      <c r="G26" s="54">
        <f t="shared" si="4"/>
        <v>-33770078.465456478</v>
      </c>
      <c r="H26" s="63">
        <f t="shared" si="5"/>
        <v>10</v>
      </c>
      <c r="I26" s="55">
        <f t="shared" si="1"/>
        <v>-4212462.7777777649</v>
      </c>
      <c r="J26" s="54">
        <f t="shared" si="11"/>
        <v>14154465.202170495</v>
      </c>
      <c r="K26" s="63">
        <f t="shared" si="12"/>
        <v>10</v>
      </c>
      <c r="L26" s="55">
        <f t="shared" si="6"/>
        <v>1765620.943536883</v>
      </c>
      <c r="M26" s="54">
        <f t="shared" si="13"/>
        <v>18715250.728515912</v>
      </c>
      <c r="N26" s="63">
        <f t="shared" si="14"/>
        <v>10</v>
      </c>
      <c r="O26" s="55">
        <f t="shared" si="15"/>
        <v>2284281.9588060449</v>
      </c>
      <c r="P26" s="54">
        <f t="shared" si="26"/>
        <v>5922420.8238400295</v>
      </c>
      <c r="Q26" s="63">
        <f t="shared" si="16"/>
        <v>10</v>
      </c>
      <c r="R26" s="55">
        <f t="shared" si="17"/>
        <v>722858.55191574001</v>
      </c>
      <c r="S26" s="54">
        <f t="shared" si="27"/>
        <v>6157735.8132506441</v>
      </c>
      <c r="T26" s="63">
        <f t="shared" si="18"/>
        <v>10</v>
      </c>
      <c r="U26" s="55">
        <f t="shared" si="19"/>
        <v>751579.82275227166</v>
      </c>
      <c r="V26" s="54">
        <f t="shared" si="20"/>
        <v>13059189.948234832</v>
      </c>
      <c r="W26" s="63">
        <f t="shared" si="21"/>
        <v>10</v>
      </c>
      <c r="X26" s="55">
        <f t="shared" si="22"/>
        <v>1593933.8685920776</v>
      </c>
      <c r="Y26" s="56"/>
      <c r="Z26" s="56"/>
      <c r="AA26" s="55"/>
      <c r="AB26" s="56">
        <f t="shared" si="23"/>
        <v>156994290.78169647</v>
      </c>
      <c r="AC26" s="63">
        <f t="shared" si="24"/>
        <v>10</v>
      </c>
      <c r="AD26" s="55">
        <f t="shared" si="7"/>
        <v>25179120.652838398</v>
      </c>
      <c r="AE26" s="111"/>
      <c r="AF26" s="54">
        <f t="shared" si="29"/>
        <v>150943914.86353195</v>
      </c>
      <c r="AG26" s="63">
        <f t="shared" si="25"/>
        <v>10</v>
      </c>
      <c r="AH26" s="55">
        <f t="shared" si="28"/>
        <v>20776150.94913565</v>
      </c>
      <c r="AP26" s="216">
        <v>500000</v>
      </c>
    </row>
    <row r="27" spans="1:42" x14ac:dyDescent="0.25">
      <c r="A27" s="49">
        <f t="shared" si="8"/>
        <v>12</v>
      </c>
      <c r="B27" s="49">
        <f t="shared" si="2"/>
        <v>2026</v>
      </c>
      <c r="C27" s="49">
        <f t="shared" si="0"/>
        <v>2029</v>
      </c>
      <c r="D27" s="54">
        <f t="shared" si="9"/>
        <v>119618497.18613845</v>
      </c>
      <c r="E27" s="63">
        <f t="shared" si="10"/>
        <v>6</v>
      </c>
      <c r="F27" s="55">
        <f t="shared" si="3"/>
        <v>22941507.533563547</v>
      </c>
      <c r="G27" s="54">
        <f t="shared" si="4"/>
        <v>-31935259.983142484</v>
      </c>
      <c r="H27" s="63">
        <f t="shared" si="5"/>
        <v>9</v>
      </c>
      <c r="I27" s="55">
        <f t="shared" si="1"/>
        <v>-4338836.6611110978</v>
      </c>
      <c r="J27" s="54">
        <f t="shared" si="11"/>
        <v>13385415.334940296</v>
      </c>
      <c r="K27" s="63">
        <f t="shared" si="12"/>
        <v>9</v>
      </c>
      <c r="L27" s="55">
        <f t="shared" si="6"/>
        <v>1818589.571842989</v>
      </c>
      <c r="M27" s="54">
        <f t="shared" si="13"/>
        <v>17662438.648206264</v>
      </c>
      <c r="N27" s="63">
        <f t="shared" si="14"/>
        <v>9</v>
      </c>
      <c r="O27" s="55">
        <f t="shared" si="15"/>
        <v>2352810.4175702264</v>
      </c>
      <c r="P27" s="54">
        <f t="shared" si="26"/>
        <v>5589259.5812542811</v>
      </c>
      <c r="Q27" s="63">
        <f t="shared" si="16"/>
        <v>9</v>
      </c>
      <c r="R27" s="55">
        <f t="shared" si="17"/>
        <v>744544.30847321241</v>
      </c>
      <c r="S27" s="54">
        <f t="shared" si="27"/>
        <v>5811337.1063571395</v>
      </c>
      <c r="T27" s="63">
        <f t="shared" si="18"/>
        <v>9</v>
      </c>
      <c r="U27" s="55">
        <f t="shared" si="19"/>
        <v>774127.21743484004</v>
      </c>
      <c r="V27" s="54">
        <f t="shared" si="20"/>
        <v>12324555.230485037</v>
      </c>
      <c r="W27" s="63">
        <f t="shared" si="21"/>
        <v>9</v>
      </c>
      <c r="X27" s="55">
        <f t="shared" si="22"/>
        <v>1641751.8846498406</v>
      </c>
      <c r="Y27" s="56"/>
      <c r="Z27" s="56"/>
      <c r="AA27" s="55"/>
      <c r="AB27" s="56">
        <f t="shared" si="23"/>
        <v>142456243.10423899</v>
      </c>
      <c r="AC27" s="63">
        <f t="shared" si="24"/>
        <v>9</v>
      </c>
      <c r="AD27" s="55">
        <f t="shared" si="7"/>
        <v>25934494.27242355</v>
      </c>
      <c r="AE27" s="111"/>
      <c r="AF27" s="54">
        <f t="shared" si="29"/>
        <v>140018971.25381756</v>
      </c>
      <c r="AG27" s="63">
        <f t="shared" si="25"/>
        <v>9</v>
      </c>
      <c r="AH27" s="55">
        <f t="shared" si="28"/>
        <v>20776150.949135654</v>
      </c>
      <c r="AP27" s="216">
        <v>500000</v>
      </c>
    </row>
    <row r="28" spans="1:42" s="50" customFormat="1" x14ac:dyDescent="0.25">
      <c r="A28" s="49">
        <f t="shared" si="8"/>
        <v>13</v>
      </c>
      <c r="B28" s="49">
        <f t="shared" si="2"/>
        <v>2027</v>
      </c>
      <c r="C28" s="49">
        <f t="shared" si="0"/>
        <v>2030</v>
      </c>
      <c r="D28" s="54">
        <f t="shared" si="9"/>
        <v>104803623.1987655</v>
      </c>
      <c r="E28" s="63">
        <f t="shared" si="10"/>
        <v>5</v>
      </c>
      <c r="F28" s="55">
        <f t="shared" si="3"/>
        <v>23629752.759570461</v>
      </c>
      <c r="G28" s="54">
        <f t="shared" si="4"/>
        <v>-29831802.88363824</v>
      </c>
      <c r="H28" s="63">
        <f t="shared" si="5"/>
        <v>8</v>
      </c>
      <c r="I28" s="55">
        <f t="shared" si="1"/>
        <v>-4469001.7609444307</v>
      </c>
      <c r="J28" s="54">
        <f t="shared" si="11"/>
        <v>12503767.684946042</v>
      </c>
      <c r="K28" s="63">
        <f t="shared" si="12"/>
        <v>8</v>
      </c>
      <c r="L28" s="55">
        <f t="shared" si="6"/>
        <v>1873147.258998279</v>
      </c>
      <c r="M28" s="54">
        <f t="shared" si="13"/>
        <v>16465043.333335767</v>
      </c>
      <c r="N28" s="63">
        <f t="shared" si="14"/>
        <v>8</v>
      </c>
      <c r="O28" s="55">
        <f t="shared" si="15"/>
        <v>2423394.7300973325</v>
      </c>
      <c r="P28" s="54">
        <f t="shared" si="26"/>
        <v>5210345.1306798942</v>
      </c>
      <c r="Q28" s="63">
        <f t="shared" si="16"/>
        <v>8</v>
      </c>
      <c r="R28" s="55">
        <f t="shared" si="17"/>
        <v>766880.63772740879</v>
      </c>
      <c r="S28" s="54">
        <f t="shared" si="27"/>
        <v>5417367.2835664582</v>
      </c>
      <c r="T28" s="63">
        <f t="shared" si="18"/>
        <v>8</v>
      </c>
      <c r="U28" s="55">
        <f t="shared" si="19"/>
        <v>797351.03395788511</v>
      </c>
      <c r="V28" s="54">
        <f t="shared" si="20"/>
        <v>11489032.742068967</v>
      </c>
      <c r="W28" s="63">
        <f t="shared" si="21"/>
        <v>8</v>
      </c>
      <c r="X28" s="55">
        <f t="shared" si="22"/>
        <v>1691004.4411893354</v>
      </c>
      <c r="Y28" s="56"/>
      <c r="Z28" s="56"/>
      <c r="AA28" s="55"/>
      <c r="AB28" s="56">
        <f t="shared" si="23"/>
        <v>126057376.48972438</v>
      </c>
      <c r="AC28" s="63">
        <f t="shared" si="24"/>
        <v>8</v>
      </c>
      <c r="AD28" s="55">
        <f t="shared" si="7"/>
        <v>26712529.100596268</v>
      </c>
      <c r="AE28" s="111"/>
      <c r="AF28" s="54">
        <f t="shared" si="29"/>
        <v>128329281.59142317</v>
      </c>
      <c r="AG28" s="63">
        <f t="shared" si="25"/>
        <v>8</v>
      </c>
      <c r="AH28" s="55">
        <f t="shared" si="28"/>
        <v>20776150.94913565</v>
      </c>
      <c r="AP28" s="216">
        <v>500000</v>
      </c>
    </row>
    <row r="29" spans="1:42" s="50" customFormat="1" x14ac:dyDescent="0.25">
      <c r="A29" s="49">
        <f t="shared" si="8"/>
        <v>14</v>
      </c>
      <c r="B29" s="49">
        <f t="shared" si="2"/>
        <v>2028</v>
      </c>
      <c r="C29" s="49">
        <f t="shared" si="0"/>
        <v>2031</v>
      </c>
      <c r="D29" s="54">
        <f t="shared" si="9"/>
        <v>88164045.824049577</v>
      </c>
      <c r="E29" s="63">
        <f t="shared" si="10"/>
        <v>4</v>
      </c>
      <c r="F29" s="55">
        <f t="shared" si="3"/>
        <v>24338645.342357572</v>
      </c>
      <c r="G29" s="54">
        <f t="shared" si="4"/>
        <v>-27435628.453723982</v>
      </c>
      <c r="H29" s="63">
        <f t="shared" si="5"/>
        <v>7</v>
      </c>
      <c r="I29" s="55">
        <f t="shared" si="1"/>
        <v>-4603071.8137727631</v>
      </c>
      <c r="J29" s="54">
        <f t="shared" si="11"/>
        <v>11499429.847198775</v>
      </c>
      <c r="K29" s="63">
        <f t="shared" si="12"/>
        <v>7</v>
      </c>
      <c r="L29" s="55">
        <f t="shared" si="6"/>
        <v>1929341.6767682272</v>
      </c>
      <c r="M29" s="54">
        <f t="shared" si="13"/>
        <v>15110817.365816988</v>
      </c>
      <c r="N29" s="63">
        <f t="shared" si="14"/>
        <v>7</v>
      </c>
      <c r="O29" s="55">
        <f t="shared" si="15"/>
        <v>2496096.5720002521</v>
      </c>
      <c r="P29" s="54">
        <f t="shared" si="26"/>
        <v>4781801.7899274342</v>
      </c>
      <c r="Q29" s="63">
        <f t="shared" si="16"/>
        <v>7</v>
      </c>
      <c r="R29" s="55">
        <f t="shared" si="17"/>
        <v>789887.05685923109</v>
      </c>
      <c r="S29" s="54">
        <f t="shared" si="27"/>
        <v>4971796.6705733594</v>
      </c>
      <c r="T29" s="63">
        <f t="shared" si="18"/>
        <v>7</v>
      </c>
      <c r="U29" s="55">
        <f t="shared" si="19"/>
        <v>821271.56497662177</v>
      </c>
      <c r="V29" s="54">
        <f t="shared" si="20"/>
        <v>10544076.438827273</v>
      </c>
      <c r="W29" s="63">
        <f t="shared" si="21"/>
        <v>7</v>
      </c>
      <c r="X29" s="55">
        <f t="shared" si="22"/>
        <v>1741734.5744250156</v>
      </c>
      <c r="Y29" s="56"/>
      <c r="Z29" s="56"/>
      <c r="AA29" s="55"/>
      <c r="AB29" s="56">
        <f t="shared" si="23"/>
        <v>107636339.48266943</v>
      </c>
      <c r="AC29" s="63">
        <f t="shared" si="24"/>
        <v>7</v>
      </c>
      <c r="AD29" s="55">
        <f t="shared" si="7"/>
        <v>27513904.973614156</v>
      </c>
      <c r="AE29" s="111"/>
      <c r="AF29" s="54">
        <f t="shared" si="29"/>
        <v>115821313.65266116</v>
      </c>
      <c r="AG29" s="63">
        <f t="shared" si="25"/>
        <v>7</v>
      </c>
      <c r="AH29" s="55">
        <f t="shared" si="28"/>
        <v>20776150.94913565</v>
      </c>
      <c r="AP29" s="216">
        <v>500000</v>
      </c>
    </row>
    <row r="30" spans="1:42" s="50" customFormat="1" x14ac:dyDescent="0.25">
      <c r="A30" s="49">
        <f t="shared" si="8"/>
        <v>15</v>
      </c>
      <c r="B30" s="49">
        <f t="shared" si="2"/>
        <v>2029</v>
      </c>
      <c r="C30" s="49">
        <f t="shared" si="0"/>
        <v>2032</v>
      </c>
      <c r="D30" s="54">
        <f t="shared" si="9"/>
        <v>69541504.672791258</v>
      </c>
      <c r="E30" s="63">
        <f t="shared" si="10"/>
        <v>3</v>
      </c>
      <c r="F30" s="55">
        <f t="shared" si="3"/>
        <v>25068804.702628292</v>
      </c>
      <c r="G30" s="54">
        <f t="shared" si="4"/>
        <v>-24720734.152180545</v>
      </c>
      <c r="H30" s="63">
        <f t="shared" si="5"/>
        <v>6</v>
      </c>
      <c r="I30" s="55">
        <f t="shared" si="1"/>
        <v>-4741163.9681859463</v>
      </c>
      <c r="J30" s="54">
        <f t="shared" si="11"/>
        <v>10361503.059196917</v>
      </c>
      <c r="K30" s="63">
        <f t="shared" si="12"/>
        <v>6</v>
      </c>
      <c r="L30" s="55">
        <f t="shared" si="6"/>
        <v>1987221.9270712738</v>
      </c>
      <c r="M30" s="54">
        <f t="shared" si="13"/>
        <v>13586592.210546328</v>
      </c>
      <c r="N30" s="63">
        <f t="shared" si="14"/>
        <v>6</v>
      </c>
      <c r="O30" s="55">
        <f t="shared" si="15"/>
        <v>2570979.4691602611</v>
      </c>
      <c r="P30" s="54">
        <f t="shared" si="26"/>
        <v>4299462.3903253004</v>
      </c>
      <c r="Q30" s="63">
        <f t="shared" si="16"/>
        <v>6</v>
      </c>
      <c r="R30" s="55">
        <f t="shared" si="17"/>
        <v>813583.66856500844</v>
      </c>
      <c r="S30" s="54">
        <f t="shared" si="27"/>
        <v>4470292.5249854606</v>
      </c>
      <c r="T30" s="63">
        <f t="shared" si="18"/>
        <v>6</v>
      </c>
      <c r="U30" s="55">
        <f t="shared" si="19"/>
        <v>845909.71192592068</v>
      </c>
      <c r="V30" s="54">
        <f t="shared" si="20"/>
        <v>9480497.5365030635</v>
      </c>
      <c r="W30" s="63">
        <f t="shared" si="21"/>
        <v>6</v>
      </c>
      <c r="X30" s="55">
        <f t="shared" si="22"/>
        <v>1793986.6116577666</v>
      </c>
      <c r="Y30" s="56"/>
      <c r="Z30" s="56"/>
      <c r="AA30" s="55"/>
      <c r="AB30" s="56">
        <f t="shared" si="23"/>
        <v>87019118.242167786</v>
      </c>
      <c r="AC30" s="63">
        <f t="shared" si="24"/>
        <v>6</v>
      </c>
      <c r="AD30" s="55">
        <f t="shared" si="7"/>
        <v>28339322.122822575</v>
      </c>
      <c r="AE30" s="111"/>
      <c r="AF30" s="54">
        <f t="shared" si="29"/>
        <v>102437787.95818581</v>
      </c>
      <c r="AG30" s="63">
        <f t="shared" si="25"/>
        <v>6</v>
      </c>
      <c r="AH30" s="55">
        <f t="shared" si="28"/>
        <v>20776150.94913565</v>
      </c>
      <c r="AP30" s="216">
        <v>500000</v>
      </c>
    </row>
    <row r="31" spans="1:42" s="50" customFormat="1" x14ac:dyDescent="0.25">
      <c r="A31" s="49">
        <f t="shared" si="8"/>
        <v>16</v>
      </c>
      <c r="B31" s="49">
        <f t="shared" si="2"/>
        <v>2030</v>
      </c>
      <c r="C31" s="49">
        <f t="shared" si="0"/>
        <v>2033</v>
      </c>
      <c r="D31" s="54">
        <f t="shared" si="9"/>
        <v>48765227.597546712</v>
      </c>
      <c r="E31" s="63">
        <f t="shared" si="10"/>
        <v>2</v>
      </c>
      <c r="F31" s="55">
        <f t="shared" si="3"/>
        <v>25820868.843707148</v>
      </c>
      <c r="G31" s="54">
        <f t="shared" si="4"/>
        <v>-21659045.784954168</v>
      </c>
      <c r="H31" s="63">
        <f t="shared" si="5"/>
        <v>5</v>
      </c>
      <c r="I31" s="55">
        <f t="shared" si="1"/>
        <v>-4883398.8872315278</v>
      </c>
      <c r="J31" s="54">
        <f t="shared" si="11"/>
        <v>9078220.2412986681</v>
      </c>
      <c r="K31" s="63">
        <f t="shared" si="12"/>
        <v>5</v>
      </c>
      <c r="L31" s="55">
        <f t="shared" si="6"/>
        <v>2046838.5848834128</v>
      </c>
      <c r="M31" s="54">
        <f t="shared" si="13"/>
        <v>11878211.823280385</v>
      </c>
      <c r="N31" s="63">
        <f t="shared" si="14"/>
        <v>5</v>
      </c>
      <c r="O31" s="55">
        <f t="shared" si="15"/>
        <v>2648108.8532350692</v>
      </c>
      <c r="P31" s="54">
        <f t="shared" si="26"/>
        <v>3758847.2670041043</v>
      </c>
      <c r="Q31" s="63">
        <f t="shared" si="16"/>
        <v>5</v>
      </c>
      <c r="R31" s="55">
        <f t="shared" si="17"/>
        <v>837991.17862195848</v>
      </c>
      <c r="S31" s="54">
        <f t="shared" si="27"/>
        <v>3908197.1918305671</v>
      </c>
      <c r="T31" s="63">
        <f t="shared" si="18"/>
        <v>5</v>
      </c>
      <c r="U31" s="55">
        <f t="shared" si="19"/>
        <v>871287.00328369834</v>
      </c>
      <c r="V31" s="54">
        <f t="shared" si="20"/>
        <v>8288418.1834248956</v>
      </c>
      <c r="W31" s="63">
        <f t="shared" si="21"/>
        <v>5</v>
      </c>
      <c r="X31" s="55">
        <f t="shared" si="22"/>
        <v>1847806.2100074994</v>
      </c>
      <c r="Y31" s="56"/>
      <c r="Z31" s="56"/>
      <c r="AA31" s="55"/>
      <c r="AB31" s="56">
        <f t="shared" si="23"/>
        <v>64018076.519431166</v>
      </c>
      <c r="AC31" s="63">
        <f t="shared" si="24"/>
        <v>5</v>
      </c>
      <c r="AD31" s="55">
        <f t="shared" si="7"/>
        <v>29189501.78650726</v>
      </c>
      <c r="AE31" s="111"/>
      <c r="AF31" s="54">
        <f t="shared" si="29"/>
        <v>88117415.465097174</v>
      </c>
      <c r="AG31" s="63">
        <f t="shared" si="25"/>
        <v>5</v>
      </c>
      <c r="AH31" s="55">
        <f t="shared" si="28"/>
        <v>20776150.949135642</v>
      </c>
      <c r="AP31" s="216">
        <v>500000</v>
      </c>
    </row>
    <row r="32" spans="1:42" s="50" customFormat="1" x14ac:dyDescent="0.25">
      <c r="A32" s="49">
        <f t="shared" si="8"/>
        <v>17</v>
      </c>
      <c r="B32" s="49">
        <f t="shared" si="2"/>
        <v>2031</v>
      </c>
      <c r="C32" s="49">
        <f t="shared" si="0"/>
        <v>2034</v>
      </c>
      <c r="D32" s="54">
        <f t="shared" si="9"/>
        <v>25650973.043887701</v>
      </c>
      <c r="E32" s="63">
        <f t="shared" si="10"/>
        <v>1</v>
      </c>
      <c r="F32" s="55">
        <f t="shared" si="3"/>
        <v>26595494.909018368</v>
      </c>
      <c r="G32" s="54">
        <f t="shared" si="4"/>
        <v>-18220258.487326607</v>
      </c>
      <c r="H32" s="63">
        <f t="shared" si="5"/>
        <v>4</v>
      </c>
      <c r="I32" s="55">
        <f t="shared" si="1"/>
        <v>-5029900.8538484713</v>
      </c>
      <c r="J32" s="54">
        <f t="shared" si="11"/>
        <v>7636879.3456379073</v>
      </c>
      <c r="K32" s="63">
        <f t="shared" si="12"/>
        <v>4</v>
      </c>
      <c r="L32" s="55">
        <f t="shared" si="6"/>
        <v>2108243.7424299149</v>
      </c>
      <c r="M32" s="54">
        <f t="shared" si="13"/>
        <v>9970461.5536456984</v>
      </c>
      <c r="N32" s="63">
        <f t="shared" si="14"/>
        <v>4</v>
      </c>
      <c r="O32" s="55">
        <f t="shared" si="15"/>
        <v>2727552.1188321211</v>
      </c>
      <c r="P32" s="54">
        <f t="shared" si="26"/>
        <v>3155141.7603311064</v>
      </c>
      <c r="Q32" s="63">
        <f t="shared" si="16"/>
        <v>4</v>
      </c>
      <c r="R32" s="55">
        <f t="shared" si="17"/>
        <v>863130.9139806173</v>
      </c>
      <c r="S32" s="54">
        <f t="shared" si="27"/>
        <v>3280504.7110577151</v>
      </c>
      <c r="T32" s="63">
        <f t="shared" si="18"/>
        <v>4</v>
      </c>
      <c r="U32" s="55">
        <f t="shared" si="19"/>
        <v>897425.61338220933</v>
      </c>
      <c r="V32" s="54">
        <f t="shared" si="20"/>
        <v>6957221.8502122555</v>
      </c>
      <c r="W32" s="63">
        <f t="shared" si="21"/>
        <v>4</v>
      </c>
      <c r="X32" s="55">
        <f t="shared" si="22"/>
        <v>1903240.3963077243</v>
      </c>
      <c r="Y32" s="56"/>
      <c r="Z32" s="56"/>
      <c r="AA32" s="55"/>
      <c r="AB32" s="56">
        <f t="shared" si="23"/>
        <v>38430923.777445778</v>
      </c>
      <c r="AC32" s="63">
        <f t="shared" si="24"/>
        <v>4</v>
      </c>
      <c r="AD32" s="55">
        <f t="shared" si="7"/>
        <v>30065186.840102486</v>
      </c>
      <c r="AE32" s="111"/>
      <c r="AF32" s="54">
        <f t="shared" si="29"/>
        <v>72794616.897492349</v>
      </c>
      <c r="AG32" s="63">
        <f t="shared" si="25"/>
        <v>4</v>
      </c>
      <c r="AH32" s="55">
        <f t="shared" si="28"/>
        <v>20776150.949135639</v>
      </c>
      <c r="AP32" s="216">
        <v>500000</v>
      </c>
    </row>
    <row r="33" spans="1:42" s="50" customFormat="1" x14ac:dyDescent="0.25">
      <c r="A33" s="49">
        <f t="shared" si="8"/>
        <v>18</v>
      </c>
      <c r="B33" s="49">
        <f t="shared" si="2"/>
        <v>2032</v>
      </c>
      <c r="C33" s="49">
        <f t="shared" si="0"/>
        <v>2035</v>
      </c>
      <c r="D33" s="54"/>
      <c r="E33" s="63"/>
      <c r="F33" s="55"/>
      <c r="G33" s="54">
        <f t="shared" ref="G33:G35" si="30">G32*1.075-I32*1.075^0.5</f>
        <v>-14371665.670432009</v>
      </c>
      <c r="H33" s="63">
        <f t="shared" si="5"/>
        <v>3</v>
      </c>
      <c r="I33" s="55">
        <f t="shared" ref="I33:I35" si="31">-PMT(1.075/1.03-1,H33,G33*1.075^0.5,0,1)</f>
        <v>-5180797.879463926</v>
      </c>
      <c r="J33" s="54">
        <f t="shared" si="11"/>
        <v>6023771.6603898462</v>
      </c>
      <c r="K33" s="63">
        <f t="shared" si="12"/>
        <v>3</v>
      </c>
      <c r="L33" s="55">
        <f t="shared" si="6"/>
        <v>2171491.0547028123</v>
      </c>
      <c r="M33" s="54">
        <f t="shared" si="13"/>
        <v>7846992.012218656</v>
      </c>
      <c r="N33" s="63">
        <f t="shared" si="14"/>
        <v>3</v>
      </c>
      <c r="O33" s="55">
        <f t="shared" si="15"/>
        <v>2809378.6823970857</v>
      </c>
      <c r="P33" s="54">
        <f t="shared" si="26"/>
        <v>2483172.1237300993</v>
      </c>
      <c r="Q33" s="63">
        <f t="shared" si="16"/>
        <v>3</v>
      </c>
      <c r="R33" s="55">
        <f t="shared" si="17"/>
        <v>889024.84140003589</v>
      </c>
      <c r="S33" s="54">
        <f t="shared" si="27"/>
        <v>2581835.7681047334</v>
      </c>
      <c r="T33" s="63">
        <f t="shared" si="18"/>
        <v>3</v>
      </c>
      <c r="U33" s="55">
        <f t="shared" si="19"/>
        <v>924348.38178367575</v>
      </c>
      <c r="V33" s="54">
        <f t="shared" si="20"/>
        <v>5475500.2054931587</v>
      </c>
      <c r="W33" s="63">
        <f t="shared" si="21"/>
        <v>3</v>
      </c>
      <c r="X33" s="55">
        <f t="shared" si="22"/>
        <v>1960337.6081969566</v>
      </c>
      <c r="Y33" s="56"/>
      <c r="Z33" s="56"/>
      <c r="AA33" s="55"/>
      <c r="AB33" s="56">
        <f t="shared" si="23"/>
        <v>10039606.099504486</v>
      </c>
      <c r="AC33" s="63">
        <f t="shared" si="24"/>
        <v>3</v>
      </c>
      <c r="AD33" s="55">
        <f t="shared" si="7"/>
        <v>3573782.6890166402</v>
      </c>
      <c r="AE33" s="111"/>
      <c r="AF33" s="54">
        <f t="shared" si="29"/>
        <v>56399222.430155188</v>
      </c>
      <c r="AG33" s="63">
        <f t="shared" si="25"/>
        <v>3</v>
      </c>
      <c r="AH33" s="55">
        <f t="shared" si="28"/>
        <v>20776150.949135642</v>
      </c>
      <c r="AP33" s="216">
        <v>500000</v>
      </c>
    </row>
    <row r="34" spans="1:42" s="50" customFormat="1" x14ac:dyDescent="0.25">
      <c r="A34" s="49">
        <f t="shared" si="8"/>
        <v>19</v>
      </c>
      <c r="B34" s="49">
        <f t="shared" si="2"/>
        <v>2033</v>
      </c>
      <c r="C34" s="49">
        <f t="shared" si="0"/>
        <v>2036</v>
      </c>
      <c r="D34" s="54"/>
      <c r="E34" s="63"/>
      <c r="F34" s="55"/>
      <c r="G34" s="54">
        <f t="shared" si="30"/>
        <v>-10077975.026166994</v>
      </c>
      <c r="H34" s="63">
        <f t="shared" si="5"/>
        <v>2</v>
      </c>
      <c r="I34" s="55">
        <f t="shared" si="31"/>
        <v>-5336221.815847843</v>
      </c>
      <c r="J34" s="54">
        <f t="shared" si="11"/>
        <v>4224104.6896630526</v>
      </c>
      <c r="K34" s="63">
        <f t="shared" si="12"/>
        <v>2</v>
      </c>
      <c r="L34" s="55">
        <f t="shared" si="6"/>
        <v>2236635.7863438968</v>
      </c>
      <c r="M34" s="54">
        <f t="shared" si="13"/>
        <v>5490237.5473862495</v>
      </c>
      <c r="N34" s="63">
        <f t="shared" si="14"/>
        <v>2</v>
      </c>
      <c r="O34" s="55">
        <f t="shared" si="15"/>
        <v>2893660.0428689979</v>
      </c>
      <c r="P34" s="54">
        <f t="shared" si="26"/>
        <v>1737379.7257722965</v>
      </c>
      <c r="Q34" s="63">
        <f t="shared" si="16"/>
        <v>2</v>
      </c>
      <c r="R34" s="55">
        <f t="shared" si="17"/>
        <v>915695.58664203703</v>
      </c>
      <c r="S34" s="54">
        <f t="shared" si="27"/>
        <v>1806410.8709632324</v>
      </c>
      <c r="T34" s="63">
        <f t="shared" si="18"/>
        <v>2</v>
      </c>
      <c r="U34" s="55">
        <f t="shared" si="19"/>
        <v>952078.83323718607</v>
      </c>
      <c r="V34" s="54">
        <f t="shared" si="20"/>
        <v>3830996.2304167054</v>
      </c>
      <c r="W34" s="63">
        <f t="shared" si="21"/>
        <v>2</v>
      </c>
      <c r="X34" s="55">
        <f t="shared" si="22"/>
        <v>2019147.7364428646</v>
      </c>
      <c r="Y34" s="56"/>
      <c r="Z34" s="56"/>
      <c r="AA34" s="55"/>
      <c r="AB34" s="56">
        <f t="shared" si="23"/>
        <v>7011154.0380345415</v>
      </c>
      <c r="AC34" s="63">
        <f t="shared" si="24"/>
        <v>2</v>
      </c>
      <c r="AD34" s="55">
        <f t="shared" si="7"/>
        <v>3680996.1696871398</v>
      </c>
      <c r="AE34" s="111"/>
      <c r="AF34" s="54">
        <f t="shared" si="29"/>
        <v>38856150.350104421</v>
      </c>
      <c r="AG34" s="63">
        <f t="shared" si="25"/>
        <v>2</v>
      </c>
      <c r="AH34" s="55">
        <f t="shared" si="28"/>
        <v>20776150.949135639</v>
      </c>
      <c r="AP34" s="216">
        <v>500000</v>
      </c>
    </row>
    <row r="35" spans="1:42" s="50" customFormat="1" x14ac:dyDescent="0.25">
      <c r="A35" s="49">
        <f t="shared" si="8"/>
        <v>20</v>
      </c>
      <c r="B35" s="49">
        <f t="shared" si="2"/>
        <v>2034</v>
      </c>
      <c r="C35" s="49">
        <f t="shared" si="0"/>
        <v>2037</v>
      </c>
      <c r="D35" s="54"/>
      <c r="E35" s="63"/>
      <c r="F35" s="55"/>
      <c r="G35" s="54">
        <f t="shared" si="30"/>
        <v>-5301110.616495681</v>
      </c>
      <c r="H35" s="63">
        <f t="shared" si="5"/>
        <v>1</v>
      </c>
      <c r="I35" s="55">
        <f t="shared" si="31"/>
        <v>-5496308.4703232814</v>
      </c>
      <c r="J35" s="54">
        <f t="shared" si="11"/>
        <v>2221919.2007740694</v>
      </c>
      <c r="K35" s="63">
        <f t="shared" si="12"/>
        <v>1</v>
      </c>
      <c r="L35" s="55">
        <f t="shared" si="6"/>
        <v>2303734.859934214</v>
      </c>
      <c r="M35" s="54">
        <f t="shared" si="13"/>
        <v>2881328.9528449448</v>
      </c>
      <c r="N35" s="63">
        <f t="shared" si="14"/>
        <v>1</v>
      </c>
      <c r="O35" s="55">
        <f t="shared" si="15"/>
        <v>2980469.8441550662</v>
      </c>
      <c r="P35" s="54">
        <f t="shared" si="26"/>
        <v>911793.42655888014</v>
      </c>
      <c r="Q35" s="63">
        <f t="shared" si="16"/>
        <v>1</v>
      </c>
      <c r="R35" s="55">
        <f t="shared" si="17"/>
        <v>943166.45424129826</v>
      </c>
      <c r="S35" s="54">
        <f t="shared" si="27"/>
        <v>948021.62899456103</v>
      </c>
      <c r="T35" s="63">
        <f t="shared" si="18"/>
        <v>1</v>
      </c>
      <c r="U35" s="55">
        <f t="shared" si="19"/>
        <v>980641.19823430129</v>
      </c>
      <c r="V35" s="54">
        <f t="shared" si="20"/>
        <v>2010543.3074010722</v>
      </c>
      <c r="W35" s="63">
        <f t="shared" si="21"/>
        <v>1</v>
      </c>
      <c r="X35" s="55">
        <f t="shared" si="22"/>
        <v>2079722.1685361508</v>
      </c>
      <c r="Y35" s="56"/>
      <c r="Z35" s="56"/>
      <c r="AA35" s="55"/>
      <c r="AB35" s="56">
        <f t="shared" si="23"/>
        <v>3672495.9000778468</v>
      </c>
      <c r="AC35" s="63">
        <f t="shared" si="24"/>
        <v>1</v>
      </c>
      <c r="AD35" s="55">
        <f t="shared" si="7"/>
        <v>3791426.0547777493</v>
      </c>
      <c r="AE35" s="111"/>
      <c r="AF35" s="54">
        <f t="shared" si="29"/>
        <v>20085063.224450108</v>
      </c>
      <c r="AG35" s="63">
        <f t="shared" si="25"/>
        <v>1</v>
      </c>
      <c r="AH35" s="55">
        <f t="shared" si="28"/>
        <v>20776150.949135631</v>
      </c>
      <c r="AP35" s="216">
        <v>500000</v>
      </c>
    </row>
    <row r="36" spans="1:42" s="50" customFormat="1" x14ac:dyDescent="0.25">
      <c r="A36" s="49">
        <f t="shared" si="8"/>
        <v>21</v>
      </c>
      <c r="B36" s="49">
        <f t="shared" si="2"/>
        <v>2035</v>
      </c>
      <c r="C36" s="49">
        <f t="shared" si="0"/>
        <v>2038</v>
      </c>
      <c r="D36" s="54"/>
      <c r="E36" s="63"/>
      <c r="F36" s="55"/>
      <c r="G36" s="54"/>
      <c r="H36" s="63"/>
      <c r="I36" s="55"/>
      <c r="J36" s="54"/>
      <c r="K36" s="63"/>
      <c r="L36" s="55"/>
      <c r="M36" s="54"/>
      <c r="N36" s="63"/>
      <c r="O36" s="55"/>
      <c r="P36" s="54"/>
      <c r="Q36" s="63"/>
      <c r="R36" s="55"/>
      <c r="S36" s="54"/>
      <c r="T36" s="63"/>
      <c r="U36" s="55"/>
      <c r="V36" s="54"/>
      <c r="W36" s="63"/>
      <c r="X36" s="55"/>
      <c r="Y36" s="56"/>
      <c r="Z36" s="56"/>
      <c r="AA36" s="55"/>
      <c r="AB36" s="56">
        <f t="shared" ref="AB36:AB45" si="32">D36+G36+J36+M36+P36+S36+V36</f>
        <v>0</v>
      </c>
      <c r="AC36" s="63">
        <f t="shared" si="24"/>
        <v>0</v>
      </c>
      <c r="AD36" s="55">
        <f t="shared" ref="AD36:AD45" si="33">F36+I36+L36+O36+R36+U36+X36</f>
        <v>0</v>
      </c>
      <c r="AE36" s="111"/>
      <c r="AF36" s="54"/>
      <c r="AG36" s="430"/>
      <c r="AH36" s="431"/>
      <c r="AP36" s="216">
        <v>500000</v>
      </c>
    </row>
    <row r="37" spans="1:42" s="50" customFormat="1" x14ac:dyDescent="0.25">
      <c r="A37" s="49">
        <f t="shared" si="8"/>
        <v>22</v>
      </c>
      <c r="B37" s="49">
        <f t="shared" si="2"/>
        <v>2036</v>
      </c>
      <c r="C37" s="49">
        <f t="shared" si="0"/>
        <v>2039</v>
      </c>
      <c r="D37" s="54"/>
      <c r="E37" s="63"/>
      <c r="F37" s="55"/>
      <c r="G37" s="54"/>
      <c r="H37" s="63"/>
      <c r="I37" s="55"/>
      <c r="J37" s="54"/>
      <c r="K37" s="63"/>
      <c r="L37" s="55"/>
      <c r="M37" s="54"/>
      <c r="N37" s="63"/>
      <c r="O37" s="55"/>
      <c r="P37" s="54"/>
      <c r="Q37" s="63"/>
      <c r="R37" s="55"/>
      <c r="S37" s="54"/>
      <c r="T37" s="63"/>
      <c r="U37" s="55"/>
      <c r="V37" s="54"/>
      <c r="W37" s="63"/>
      <c r="X37" s="55"/>
      <c r="Y37" s="56"/>
      <c r="Z37" s="56"/>
      <c r="AA37" s="55"/>
      <c r="AB37" s="56">
        <f t="shared" si="32"/>
        <v>0</v>
      </c>
      <c r="AC37" s="63">
        <f t="shared" si="24"/>
        <v>-1</v>
      </c>
      <c r="AD37" s="55">
        <f t="shared" si="33"/>
        <v>0</v>
      </c>
      <c r="AE37" s="111"/>
      <c r="AF37" s="54"/>
      <c r="AG37" s="430"/>
      <c r="AH37" s="431"/>
      <c r="AP37" s="216">
        <v>500000</v>
      </c>
    </row>
    <row r="38" spans="1:42" s="50" customFormat="1" x14ac:dyDescent="0.25">
      <c r="A38" s="49">
        <f t="shared" si="8"/>
        <v>23</v>
      </c>
      <c r="B38" s="49">
        <f t="shared" si="2"/>
        <v>2037</v>
      </c>
      <c r="C38" s="49">
        <f t="shared" si="0"/>
        <v>2040</v>
      </c>
      <c r="D38" s="54"/>
      <c r="E38" s="63"/>
      <c r="F38" s="55"/>
      <c r="G38" s="54"/>
      <c r="H38" s="63"/>
      <c r="I38" s="55"/>
      <c r="J38" s="54"/>
      <c r="K38" s="63"/>
      <c r="L38" s="55"/>
      <c r="M38" s="54"/>
      <c r="N38" s="63"/>
      <c r="O38" s="55"/>
      <c r="P38" s="54"/>
      <c r="Q38" s="63"/>
      <c r="R38" s="55"/>
      <c r="S38" s="54"/>
      <c r="T38" s="63"/>
      <c r="U38" s="55"/>
      <c r="V38" s="54"/>
      <c r="W38" s="63"/>
      <c r="X38" s="55"/>
      <c r="Y38" s="56"/>
      <c r="Z38" s="56"/>
      <c r="AA38" s="55"/>
      <c r="AB38" s="56">
        <f t="shared" si="32"/>
        <v>0</v>
      </c>
      <c r="AC38" s="63">
        <f t="shared" si="24"/>
        <v>-2</v>
      </c>
      <c r="AD38" s="55">
        <f t="shared" si="33"/>
        <v>0</v>
      </c>
      <c r="AE38" s="111"/>
      <c r="AF38" s="54"/>
      <c r="AG38" s="430"/>
      <c r="AH38" s="431"/>
      <c r="AP38" s="216">
        <v>500000</v>
      </c>
    </row>
    <row r="39" spans="1:42" s="50" customFormat="1" x14ac:dyDescent="0.25">
      <c r="A39" s="49">
        <f t="shared" si="8"/>
        <v>24</v>
      </c>
      <c r="B39" s="49">
        <f t="shared" si="2"/>
        <v>2038</v>
      </c>
      <c r="C39" s="49">
        <f t="shared" si="0"/>
        <v>2041</v>
      </c>
      <c r="D39" s="54"/>
      <c r="E39" s="63"/>
      <c r="F39" s="55"/>
      <c r="G39" s="54"/>
      <c r="H39" s="63"/>
      <c r="I39" s="55"/>
      <c r="J39" s="54"/>
      <c r="K39" s="63"/>
      <c r="L39" s="55"/>
      <c r="M39" s="54"/>
      <c r="N39" s="63"/>
      <c r="O39" s="55"/>
      <c r="P39" s="54"/>
      <c r="Q39" s="63"/>
      <c r="R39" s="55"/>
      <c r="S39" s="54"/>
      <c r="T39" s="63"/>
      <c r="U39" s="55"/>
      <c r="V39" s="54"/>
      <c r="W39" s="63"/>
      <c r="X39" s="55"/>
      <c r="Y39" s="56"/>
      <c r="Z39" s="56"/>
      <c r="AA39" s="55"/>
      <c r="AB39" s="56">
        <f t="shared" si="32"/>
        <v>0</v>
      </c>
      <c r="AC39" s="63">
        <f t="shared" si="24"/>
        <v>-3</v>
      </c>
      <c r="AD39" s="55">
        <f t="shared" si="33"/>
        <v>0</v>
      </c>
      <c r="AE39" s="111"/>
      <c r="AF39" s="54"/>
      <c r="AG39" s="430"/>
      <c r="AH39" s="431"/>
      <c r="AP39" s="216">
        <v>500000</v>
      </c>
    </row>
    <row r="40" spans="1:42" s="50" customFormat="1" x14ac:dyDescent="0.25">
      <c r="A40" s="49">
        <f t="shared" si="8"/>
        <v>25</v>
      </c>
      <c r="B40" s="49">
        <f t="shared" si="2"/>
        <v>2039</v>
      </c>
      <c r="C40" s="49">
        <f t="shared" si="0"/>
        <v>2042</v>
      </c>
      <c r="D40" s="54"/>
      <c r="E40" s="63"/>
      <c r="F40" s="55"/>
      <c r="G40" s="54"/>
      <c r="H40" s="63"/>
      <c r="I40" s="55"/>
      <c r="J40" s="54"/>
      <c r="K40" s="63"/>
      <c r="L40" s="55"/>
      <c r="M40" s="54"/>
      <c r="N40" s="63"/>
      <c r="O40" s="55"/>
      <c r="P40" s="54"/>
      <c r="Q40" s="63"/>
      <c r="R40" s="55"/>
      <c r="S40" s="54"/>
      <c r="T40" s="63"/>
      <c r="U40" s="55"/>
      <c r="V40" s="54"/>
      <c r="W40" s="63"/>
      <c r="X40" s="55"/>
      <c r="Y40" s="56"/>
      <c r="Z40" s="56"/>
      <c r="AA40" s="55"/>
      <c r="AB40" s="56">
        <f t="shared" si="32"/>
        <v>0</v>
      </c>
      <c r="AC40" s="63">
        <f t="shared" si="24"/>
        <v>-4</v>
      </c>
      <c r="AD40" s="55">
        <f t="shared" si="33"/>
        <v>0</v>
      </c>
      <c r="AE40" s="111"/>
      <c r="AF40" s="54"/>
      <c r="AG40" s="430"/>
      <c r="AH40" s="431"/>
      <c r="AP40" s="216">
        <v>500000</v>
      </c>
    </row>
    <row r="41" spans="1:42" s="50" customFormat="1" x14ac:dyDescent="0.25">
      <c r="A41" s="49">
        <f t="shared" si="8"/>
        <v>26</v>
      </c>
      <c r="B41" s="49">
        <f t="shared" si="2"/>
        <v>2040</v>
      </c>
      <c r="C41" s="49">
        <f t="shared" si="0"/>
        <v>2043</v>
      </c>
      <c r="D41" s="54"/>
      <c r="E41" s="63"/>
      <c r="F41" s="55"/>
      <c r="G41" s="54"/>
      <c r="H41" s="63"/>
      <c r="I41" s="55"/>
      <c r="J41" s="54"/>
      <c r="K41" s="63"/>
      <c r="L41" s="55"/>
      <c r="M41" s="54"/>
      <c r="N41" s="63"/>
      <c r="O41" s="55"/>
      <c r="P41" s="54"/>
      <c r="Q41" s="63"/>
      <c r="R41" s="55"/>
      <c r="S41" s="54"/>
      <c r="T41" s="63"/>
      <c r="U41" s="55"/>
      <c r="V41" s="54"/>
      <c r="W41" s="63"/>
      <c r="X41" s="55"/>
      <c r="Y41" s="56"/>
      <c r="Z41" s="56"/>
      <c r="AA41" s="55"/>
      <c r="AB41" s="56">
        <f t="shared" si="32"/>
        <v>0</v>
      </c>
      <c r="AC41" s="63">
        <f t="shared" si="24"/>
        <v>-5</v>
      </c>
      <c r="AD41" s="55">
        <f t="shared" si="33"/>
        <v>0</v>
      </c>
      <c r="AE41" s="111"/>
      <c r="AF41" s="54"/>
      <c r="AG41" s="430"/>
      <c r="AH41" s="431"/>
      <c r="AP41" s="216">
        <v>500000</v>
      </c>
    </row>
    <row r="42" spans="1:42" s="50" customFormat="1" x14ac:dyDescent="0.25">
      <c r="A42" s="49">
        <f t="shared" si="8"/>
        <v>27</v>
      </c>
      <c r="B42" s="49">
        <f t="shared" si="2"/>
        <v>2041</v>
      </c>
      <c r="C42" s="49">
        <f t="shared" si="0"/>
        <v>2044</v>
      </c>
      <c r="D42" s="54"/>
      <c r="E42" s="63"/>
      <c r="F42" s="55"/>
      <c r="G42" s="54"/>
      <c r="H42" s="63"/>
      <c r="I42" s="55"/>
      <c r="J42" s="54"/>
      <c r="K42" s="65"/>
      <c r="L42" s="55"/>
      <c r="M42" s="54"/>
      <c r="N42" s="63"/>
      <c r="O42" s="55"/>
      <c r="P42" s="54"/>
      <c r="Q42" s="63"/>
      <c r="R42" s="55"/>
      <c r="S42" s="54"/>
      <c r="T42" s="63"/>
      <c r="U42" s="55"/>
      <c r="V42" s="54"/>
      <c r="W42" s="63"/>
      <c r="X42" s="55"/>
      <c r="Y42" s="56"/>
      <c r="Z42" s="56"/>
      <c r="AA42" s="55"/>
      <c r="AB42" s="56">
        <f t="shared" si="32"/>
        <v>0</v>
      </c>
      <c r="AC42" s="63">
        <f t="shared" si="24"/>
        <v>-6</v>
      </c>
      <c r="AD42" s="55">
        <f t="shared" si="33"/>
        <v>0</v>
      </c>
      <c r="AE42" s="111"/>
      <c r="AF42" s="54"/>
      <c r="AG42" s="430"/>
      <c r="AH42" s="431"/>
      <c r="AP42" s="216">
        <v>500000</v>
      </c>
    </row>
    <row r="43" spans="1:42" s="50" customFormat="1" x14ac:dyDescent="0.25">
      <c r="A43" s="49">
        <f t="shared" si="8"/>
        <v>28</v>
      </c>
      <c r="B43" s="49">
        <f t="shared" si="2"/>
        <v>2042</v>
      </c>
      <c r="C43" s="49">
        <f t="shared" si="0"/>
        <v>2045</v>
      </c>
      <c r="D43" s="54"/>
      <c r="E43" s="63"/>
      <c r="F43" s="55"/>
      <c r="G43" s="54"/>
      <c r="H43" s="63"/>
      <c r="I43" s="55"/>
      <c r="J43" s="54"/>
      <c r="K43" s="63"/>
      <c r="L43" s="55"/>
      <c r="M43" s="54"/>
      <c r="N43" s="63"/>
      <c r="O43" s="55"/>
      <c r="P43" s="54"/>
      <c r="Q43" s="63"/>
      <c r="R43" s="55"/>
      <c r="S43" s="54"/>
      <c r="T43" s="63"/>
      <c r="U43" s="55"/>
      <c r="V43" s="54"/>
      <c r="W43" s="63"/>
      <c r="X43" s="55"/>
      <c r="Y43" s="56"/>
      <c r="Z43" s="56"/>
      <c r="AA43" s="55"/>
      <c r="AB43" s="56">
        <f t="shared" si="32"/>
        <v>0</v>
      </c>
      <c r="AC43" s="63">
        <f t="shared" si="24"/>
        <v>-7</v>
      </c>
      <c r="AD43" s="55">
        <f t="shared" si="33"/>
        <v>0</v>
      </c>
      <c r="AE43" s="111"/>
      <c r="AF43" s="54"/>
      <c r="AG43" s="430"/>
      <c r="AH43" s="431"/>
      <c r="AP43" s="216">
        <v>500000</v>
      </c>
    </row>
    <row r="44" spans="1:42" x14ac:dyDescent="0.25">
      <c r="A44" s="49">
        <f t="shared" si="8"/>
        <v>29</v>
      </c>
      <c r="B44" s="49">
        <f t="shared" si="2"/>
        <v>2043</v>
      </c>
      <c r="C44" s="49">
        <f t="shared" si="0"/>
        <v>2046</v>
      </c>
      <c r="D44" s="54"/>
      <c r="E44" s="63"/>
      <c r="F44" s="55"/>
      <c r="G44" s="54"/>
      <c r="H44" s="63"/>
      <c r="I44" s="55"/>
      <c r="J44" s="54"/>
      <c r="K44" s="63"/>
      <c r="L44" s="55"/>
      <c r="M44" s="54"/>
      <c r="N44" s="63"/>
      <c r="O44" s="55"/>
      <c r="P44" s="54"/>
      <c r="Q44" s="63"/>
      <c r="R44" s="55"/>
      <c r="S44" s="54"/>
      <c r="T44" s="63"/>
      <c r="U44" s="55"/>
      <c r="V44" s="54"/>
      <c r="W44" s="63"/>
      <c r="X44" s="55"/>
      <c r="Y44" s="56"/>
      <c r="Z44" s="56"/>
      <c r="AA44" s="55"/>
      <c r="AB44" s="56">
        <f t="shared" si="32"/>
        <v>0</v>
      </c>
      <c r="AC44" s="63">
        <f t="shared" si="24"/>
        <v>-8</v>
      </c>
      <c r="AD44" s="55">
        <f t="shared" si="33"/>
        <v>0</v>
      </c>
      <c r="AE44" s="111"/>
      <c r="AF44" s="54"/>
      <c r="AG44" s="430"/>
      <c r="AH44" s="431"/>
      <c r="AP44" s="216">
        <v>500000</v>
      </c>
    </row>
    <row r="45" spans="1:42" x14ac:dyDescent="0.25">
      <c r="A45" s="49">
        <f t="shared" si="8"/>
        <v>30</v>
      </c>
      <c r="B45" s="49">
        <f t="shared" si="2"/>
        <v>2044</v>
      </c>
      <c r="C45" s="49">
        <f t="shared" si="0"/>
        <v>2047</v>
      </c>
      <c r="D45" s="54"/>
      <c r="E45" s="63"/>
      <c r="F45" s="55"/>
      <c r="G45" s="54"/>
      <c r="H45" s="63"/>
      <c r="I45" s="55"/>
      <c r="J45" s="54"/>
      <c r="K45" s="63"/>
      <c r="L45" s="55"/>
      <c r="M45" s="54"/>
      <c r="N45" s="63"/>
      <c r="O45" s="55"/>
      <c r="P45" s="54"/>
      <c r="Q45" s="63"/>
      <c r="R45" s="55"/>
      <c r="S45" s="54"/>
      <c r="T45" s="63"/>
      <c r="U45" s="55"/>
      <c r="V45" s="54"/>
      <c r="W45" s="63"/>
      <c r="X45" s="55"/>
      <c r="Y45" s="56"/>
      <c r="Z45" s="56"/>
      <c r="AA45" s="55"/>
      <c r="AB45" s="56">
        <f t="shared" si="32"/>
        <v>0</v>
      </c>
      <c r="AC45" s="63">
        <f t="shared" si="24"/>
        <v>-9</v>
      </c>
      <c r="AD45" s="55">
        <f t="shared" si="33"/>
        <v>0</v>
      </c>
      <c r="AE45" s="111"/>
      <c r="AF45" s="54"/>
      <c r="AG45" s="430"/>
      <c r="AH45" s="431"/>
      <c r="AP45" s="216">
        <v>500000</v>
      </c>
    </row>
    <row r="46" spans="1:42" x14ac:dyDescent="0.25">
      <c r="C46" s="56"/>
      <c r="D46" s="57"/>
      <c r="E46" s="68"/>
      <c r="F46" s="58"/>
      <c r="G46" s="57"/>
      <c r="H46" s="68"/>
      <c r="I46" s="58"/>
      <c r="J46" s="325"/>
      <c r="K46" s="68"/>
      <c r="L46" s="58"/>
      <c r="M46" s="60"/>
      <c r="N46" s="61"/>
      <c r="O46" s="62"/>
      <c r="P46" s="60"/>
      <c r="Q46" s="61"/>
      <c r="R46" s="62"/>
      <c r="S46" s="60"/>
      <c r="T46" s="61"/>
      <c r="U46" s="62"/>
      <c r="V46" s="60"/>
      <c r="W46" s="61"/>
      <c r="X46" s="62"/>
      <c r="Y46" s="61"/>
      <c r="Z46" s="61"/>
      <c r="AA46" s="62"/>
      <c r="AB46" s="67"/>
      <c r="AC46" s="67"/>
      <c r="AD46" s="298"/>
      <c r="AE46" s="52"/>
      <c r="AF46" s="66"/>
      <c r="AG46" s="67"/>
      <c r="AH46" s="298"/>
    </row>
    <row r="47" spans="1:42" x14ac:dyDescent="0.25">
      <c r="C47" s="47"/>
      <c r="AB47" s="49" t="s">
        <v>81</v>
      </c>
      <c r="AD47" s="47">
        <f>SUM(AD16:AD46)</f>
        <v>418763271.08274925</v>
      </c>
      <c r="AF47" s="49" t="s">
        <v>81</v>
      </c>
      <c r="AH47" s="47">
        <f>SUM(AH16:AH46)</f>
        <v>417305963.35832119</v>
      </c>
    </row>
    <row r="48" spans="1:42" x14ac:dyDescent="0.25">
      <c r="B48" s="215">
        <v>0</v>
      </c>
      <c r="C48" s="52"/>
      <c r="D48" s="56"/>
      <c r="E48" s="49" t="s">
        <v>152</v>
      </c>
      <c r="AB48" s="49" t="s">
        <v>86</v>
      </c>
      <c r="AD48" s="48">
        <f>NPV(0.03,AD16:AD45)</f>
        <v>315526514.29714441</v>
      </c>
      <c r="AE48" s="48"/>
      <c r="AF48" s="49" t="s">
        <v>86</v>
      </c>
      <c r="AH48" s="48">
        <f>NPV(0.03,AH16:AH45)</f>
        <v>310789302.12964904</v>
      </c>
    </row>
    <row r="49" spans="2:34" x14ac:dyDescent="0.25">
      <c r="B49" s="215">
        <v>-1</v>
      </c>
      <c r="C49" s="52"/>
      <c r="D49" s="274"/>
      <c r="E49" s="49" t="s">
        <v>153</v>
      </c>
    </row>
    <row r="50" spans="2:34" x14ac:dyDescent="0.25">
      <c r="B50" s="215">
        <v>1</v>
      </c>
      <c r="C50" s="52"/>
      <c r="D50" s="56"/>
      <c r="E50" s="49" t="s">
        <v>154</v>
      </c>
      <c r="AF50" s="49"/>
      <c r="AG50" s="106" t="s">
        <v>228</v>
      </c>
      <c r="AH50" s="47">
        <f>AD47-AH47</f>
        <v>1457307.7244280577</v>
      </c>
    </row>
    <row r="51" spans="2:34" x14ac:dyDescent="0.25">
      <c r="AF51" s="49"/>
      <c r="AG51" s="106" t="s">
        <v>227</v>
      </c>
      <c r="AH51" s="47">
        <f>AD48-AH48</f>
        <v>4737212.1674953699</v>
      </c>
    </row>
  </sheetData>
  <mergeCells count="13">
    <mergeCell ref="AB12:AD12"/>
    <mergeCell ref="AG5:AL5"/>
    <mergeCell ref="D10:AD10"/>
    <mergeCell ref="AB11:AD11"/>
    <mergeCell ref="D12:F12"/>
    <mergeCell ref="G12:I12"/>
    <mergeCell ref="J12:L12"/>
    <mergeCell ref="M12:O12"/>
    <mergeCell ref="P12:R12"/>
    <mergeCell ref="S12:U12"/>
    <mergeCell ref="V12:X12"/>
    <mergeCell ref="AF11:AH11"/>
    <mergeCell ref="AF12:AH12"/>
  </mergeCells>
  <conditionalFormatting sqref="D17">
    <cfRule type="cellIs" dxfId="125" priority="40" operator="greaterThanOrEqual">
      <formula>D16</formula>
    </cfRule>
    <cfRule type="cellIs" dxfId="124" priority="41" operator="greaterThan">
      <formula>D$16</formula>
    </cfRule>
    <cfRule type="cellIs" dxfId="123" priority="42" operator="lessThanOrEqual">
      <formula>D$16</formula>
    </cfRule>
  </conditionalFormatting>
  <conditionalFormatting sqref="D18:D32">
    <cfRule type="cellIs" dxfId="122" priority="37" operator="greaterThanOrEqual">
      <formula>D17</formula>
    </cfRule>
    <cfRule type="cellIs" dxfId="121" priority="38" operator="greaterThan">
      <formula>D$16</formula>
    </cfRule>
    <cfRule type="cellIs" dxfId="120" priority="39" operator="lessThanOrEqual">
      <formula>D$16</formula>
    </cfRule>
  </conditionalFormatting>
  <conditionalFormatting sqref="D48">
    <cfRule type="cellIs" dxfId="119" priority="34" operator="greaterThanOrEqual">
      <formula>B48</formula>
    </cfRule>
    <cfRule type="cellIs" dxfId="118" priority="35" operator="greaterThan">
      <formula>B49</formula>
    </cfRule>
    <cfRule type="cellIs" dxfId="117" priority="36" operator="lessThanOrEqual">
      <formula>51</formula>
    </cfRule>
  </conditionalFormatting>
  <conditionalFormatting sqref="AB17:AB45">
    <cfRule type="cellIs" dxfId="116" priority="31" operator="greaterThanOrEqual">
      <formula>AB16</formula>
    </cfRule>
    <cfRule type="cellIs" dxfId="115" priority="32" operator="greaterThan">
      <formula>AB$16</formula>
    </cfRule>
    <cfRule type="cellIs" dxfId="114" priority="33" operator="lessThanOrEqual">
      <formula>AB$16</formula>
    </cfRule>
  </conditionalFormatting>
  <conditionalFormatting sqref="D50">
    <cfRule type="cellIs" dxfId="113" priority="47" operator="greaterThanOrEqual">
      <formula>B50</formula>
    </cfRule>
    <cfRule type="cellIs" dxfId="112" priority="48" operator="greaterThan">
      <formula>D48</formula>
    </cfRule>
    <cfRule type="cellIs" dxfId="111" priority="49" operator="lessThanOrEqual">
      <formula>51</formula>
    </cfRule>
  </conditionalFormatting>
  <conditionalFormatting sqref="J17">
    <cfRule type="cellIs" dxfId="110" priority="28" operator="greaterThanOrEqual">
      <formula>J16</formula>
    </cfRule>
    <cfRule type="cellIs" dxfId="109" priority="29" operator="greaterThan">
      <formula>J$16</formula>
    </cfRule>
    <cfRule type="cellIs" dxfId="108" priority="30" operator="lessThanOrEqual">
      <formula>J$16</formula>
    </cfRule>
  </conditionalFormatting>
  <conditionalFormatting sqref="J18:J35">
    <cfRule type="cellIs" dxfId="107" priority="25" operator="greaterThanOrEqual">
      <formula>J17</formula>
    </cfRule>
    <cfRule type="cellIs" dxfId="106" priority="26" operator="greaterThan">
      <formula>J$16</formula>
    </cfRule>
    <cfRule type="cellIs" dxfId="105" priority="27" operator="lessThanOrEqual">
      <formula>J$16</formula>
    </cfRule>
  </conditionalFormatting>
  <conditionalFormatting sqref="M17:M35">
    <cfRule type="cellIs" dxfId="104" priority="22" operator="greaterThanOrEqual">
      <formula>M16</formula>
    </cfRule>
    <cfRule type="cellIs" dxfId="103" priority="23" operator="greaterThan">
      <formula>M$16</formula>
    </cfRule>
    <cfRule type="cellIs" dxfId="102" priority="24" operator="lessThanOrEqual">
      <formula>M$16</formula>
    </cfRule>
  </conditionalFormatting>
  <conditionalFormatting sqref="P17:P35">
    <cfRule type="cellIs" dxfId="101" priority="19" operator="greaterThanOrEqual">
      <formula>P16</formula>
    </cfRule>
    <cfRule type="cellIs" dxfId="100" priority="20" operator="greaterThan">
      <formula>P$16</formula>
    </cfRule>
    <cfRule type="cellIs" dxfId="99" priority="21" operator="lessThanOrEqual">
      <formula>P$16</formula>
    </cfRule>
  </conditionalFormatting>
  <conditionalFormatting sqref="S17:S35">
    <cfRule type="cellIs" dxfId="98" priority="16" operator="greaterThanOrEqual">
      <formula>S16</formula>
    </cfRule>
    <cfRule type="cellIs" dxfId="97" priority="17" operator="greaterThan">
      <formula>S$16</formula>
    </cfRule>
    <cfRule type="cellIs" dxfId="96" priority="18" operator="lessThanOrEqual">
      <formula>S$16</formula>
    </cfRule>
  </conditionalFormatting>
  <conditionalFormatting sqref="V17:V35">
    <cfRule type="cellIs" dxfId="95" priority="13" operator="greaterThanOrEqual">
      <formula>V16</formula>
    </cfRule>
    <cfRule type="cellIs" dxfId="94" priority="14" operator="greaterThan">
      <formula>V$16</formula>
    </cfRule>
    <cfRule type="cellIs" dxfId="93" priority="15" operator="lessThanOrEqual">
      <formula>V$16</formula>
    </cfRule>
  </conditionalFormatting>
  <conditionalFormatting sqref="G16">
    <cfRule type="cellIs" dxfId="92" priority="10" operator="greaterThanOrEqual">
      <formula>G15</formula>
    </cfRule>
    <cfRule type="cellIs" dxfId="91" priority="11" operator="greaterThan">
      <formula>G$16</formula>
    </cfRule>
    <cfRule type="cellIs" dxfId="90" priority="12" operator="lessThanOrEqual">
      <formula>G$16</formula>
    </cfRule>
  </conditionalFormatting>
  <conditionalFormatting sqref="G17:G45">
    <cfRule type="cellIs" dxfId="89" priority="7" operator="greaterThanOrEqual">
      <formula>G16</formula>
    </cfRule>
    <cfRule type="cellIs" dxfId="88" priority="8" operator="greaterThan">
      <formula>G$16</formula>
    </cfRule>
    <cfRule type="cellIs" dxfId="87" priority="9" operator="lessThanOrEqual">
      <formula>G$16</formula>
    </cfRule>
  </conditionalFormatting>
  <conditionalFormatting sqref="AE14:AE45">
    <cfRule type="iconSet" priority="167">
      <iconSet>
        <cfvo type="percent" val="0"/>
        <cfvo type="num" val="0.7"/>
        <cfvo type="num" val="0.8"/>
      </iconSet>
    </cfRule>
  </conditionalFormatting>
  <conditionalFormatting sqref="AF18:AF35">
    <cfRule type="cellIs" dxfId="86" priority="1" operator="greaterThanOrEqual">
      <formula>AF17</formula>
    </cfRule>
    <cfRule type="cellIs" dxfId="85" priority="2" operator="greaterThan">
      <formula>AF$16</formula>
    </cfRule>
    <cfRule type="cellIs" dxfId="84" priority="3" operator="lessThanOrEqual">
      <formula>AF$16</formula>
    </cfRule>
  </conditionalFormatting>
  <conditionalFormatting sqref="AF17">
    <cfRule type="cellIs" dxfId="83" priority="4" operator="greaterThanOrEqual">
      <formula>AF16</formula>
    </cfRule>
    <cfRule type="cellIs" dxfId="82" priority="5" operator="greaterThan">
      <formula>AF$16</formula>
    </cfRule>
    <cfRule type="cellIs" dxfId="81" priority="6" operator="lessThanOrEqual">
      <formula>AF$16</formula>
    </cfRule>
  </conditionalFormatting>
  <pageMargins left="0.25" right="0.25" top="0.25" bottom="0.25" header="0.3" footer="0.3"/>
  <pageSetup scale="45" orientation="landscape" r:id="rId1"/>
  <headerFooter differentFirst="1">
    <oddFooter>&amp;R&amp;P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9"/>
  <sheetViews>
    <sheetView showGridLines="0" zoomScale="80" zoomScaleNormal="80" workbookViewId="0">
      <selection activeCell="W34" sqref="W34"/>
    </sheetView>
  </sheetViews>
  <sheetFormatPr defaultRowHeight="15" x14ac:dyDescent="0.25"/>
  <cols>
    <col min="24" max="24" width="10.5703125" customWidth="1"/>
    <col min="25" max="25" width="16.5703125" bestFit="1" customWidth="1"/>
    <col min="26" max="26" width="16.28515625" bestFit="1" customWidth="1"/>
    <col min="27" max="27" width="11" customWidth="1"/>
    <col min="28" max="28" width="10.85546875" customWidth="1"/>
    <col min="29" max="29" width="10.5703125" customWidth="1"/>
    <col min="30" max="30" width="12.85546875" customWidth="1"/>
  </cols>
  <sheetData>
    <row r="1" spans="1:29" s="49" customFormat="1" x14ac:dyDescent="0.25"/>
    <row r="2" spans="1:29" s="49" customFormat="1" x14ac:dyDescent="0.25"/>
    <row r="3" spans="1:29" s="49" customFormat="1" ht="23.25" x14ac:dyDescent="0.35">
      <c r="A3" s="547" t="s">
        <v>150</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row>
    <row r="4" spans="1:29" s="49" customFormat="1" ht="23.25" x14ac:dyDescent="0.35">
      <c r="A4" s="547" t="s">
        <v>151</v>
      </c>
      <c r="B4" s="547"/>
      <c r="C4" s="547"/>
      <c r="D4" s="547"/>
      <c r="E4" s="547"/>
      <c r="F4" s="547"/>
      <c r="G4" s="547"/>
      <c r="H4" s="547"/>
      <c r="I4" s="547"/>
      <c r="J4" s="547"/>
      <c r="K4" s="547"/>
      <c r="L4" s="547"/>
      <c r="M4" s="547"/>
      <c r="N4" s="547"/>
      <c r="O4" s="547"/>
      <c r="P4" s="547"/>
      <c r="Q4" s="547"/>
      <c r="R4" s="547"/>
      <c r="S4" s="547"/>
      <c r="T4" s="547"/>
      <c r="U4" s="547"/>
      <c r="V4" s="547"/>
      <c r="W4" s="547"/>
      <c r="X4" s="547"/>
      <c r="Y4" s="547"/>
      <c r="Z4" s="547"/>
      <c r="AA4" s="547"/>
      <c r="AB4" s="547"/>
      <c r="AC4" s="547"/>
    </row>
    <row r="5" spans="1:29" s="49" customFormat="1" ht="26.25" x14ac:dyDescent="0.4">
      <c r="D5" s="214"/>
    </row>
    <row r="6" spans="1:29" s="49" customFormat="1" x14ac:dyDescent="0.25"/>
    <row r="37" spans="22:33" x14ac:dyDescent="0.25">
      <c r="W37" s="52"/>
      <c r="X37" s="52"/>
      <c r="Y37" s="52"/>
      <c r="Z37" s="52"/>
      <c r="AA37" s="52"/>
      <c r="AB37" s="52"/>
      <c r="AC37" s="52"/>
      <c r="AD37" s="52"/>
      <c r="AE37" s="52"/>
      <c r="AF37" s="52"/>
      <c r="AG37" s="52"/>
    </row>
    <row r="38" spans="22:33" ht="15.75" x14ac:dyDescent="0.25">
      <c r="V38" s="52"/>
      <c r="W38" s="52"/>
      <c r="X38" s="52"/>
      <c r="Y38" s="52"/>
      <c r="Z38" s="52"/>
      <c r="AA38" s="195"/>
      <c r="AB38" s="52"/>
      <c r="AC38" s="52"/>
      <c r="AD38" s="52"/>
      <c r="AF38" s="52"/>
      <c r="AG38" s="52"/>
    </row>
    <row r="39" spans="22:33" ht="15.75" thickBot="1" x14ac:dyDescent="0.3">
      <c r="V39" s="52"/>
      <c r="W39" s="52"/>
      <c r="X39" s="52"/>
      <c r="Y39" s="49"/>
      <c r="Z39" s="49"/>
      <c r="AA39" s="49"/>
      <c r="AB39" s="49"/>
      <c r="AC39" s="49"/>
      <c r="AD39" s="52"/>
      <c r="AF39" s="52"/>
      <c r="AG39" s="52"/>
    </row>
    <row r="40" spans="22:33" ht="21" x14ac:dyDescent="0.35">
      <c r="V40" s="52"/>
      <c r="W40" s="52"/>
      <c r="X40" s="49"/>
      <c r="Y40" s="52"/>
      <c r="Z40" s="267" t="s">
        <v>104</v>
      </c>
      <c r="AA40" s="268"/>
      <c r="AB40" s="268"/>
      <c r="AC40" s="269"/>
      <c r="AD40" s="52"/>
      <c r="AF40" s="52"/>
      <c r="AG40" s="52"/>
    </row>
    <row r="41" spans="22:33" ht="21" x14ac:dyDescent="0.35">
      <c r="V41" s="52"/>
      <c r="W41" s="49"/>
      <c r="X41" s="49"/>
      <c r="Y41" s="171"/>
      <c r="Z41" s="544" t="s">
        <v>105</v>
      </c>
      <c r="AA41" s="545"/>
      <c r="AB41" s="545"/>
      <c r="AC41" s="546"/>
      <c r="AD41" s="52"/>
      <c r="AF41" s="52"/>
      <c r="AG41" s="52"/>
    </row>
    <row r="42" spans="22:33" ht="18.75" x14ac:dyDescent="0.3">
      <c r="V42" s="52"/>
      <c r="W42" s="49"/>
      <c r="X42" s="49"/>
      <c r="Y42" s="49"/>
      <c r="Z42" s="541" t="s">
        <v>106</v>
      </c>
      <c r="AA42" s="542"/>
      <c r="AB42" s="542"/>
      <c r="AC42" s="543"/>
      <c r="AD42" s="52"/>
      <c r="AF42" s="52"/>
      <c r="AG42" s="52"/>
    </row>
    <row r="43" spans="22:33" ht="18.75" x14ac:dyDescent="0.3">
      <c r="V43" s="52"/>
      <c r="W43" s="49"/>
      <c r="X43" s="49"/>
      <c r="Y43" s="172"/>
      <c r="Z43" s="257" t="s">
        <v>93</v>
      </c>
      <c r="AA43" s="173" t="s">
        <v>66</v>
      </c>
      <c r="AB43" s="173" t="s">
        <v>94</v>
      </c>
      <c r="AC43" s="258" t="s">
        <v>95</v>
      </c>
      <c r="AD43" s="52"/>
      <c r="AF43" s="52"/>
      <c r="AG43" s="52"/>
    </row>
    <row r="44" spans="22:33" ht="18.75" x14ac:dyDescent="0.3">
      <c r="V44" s="52"/>
      <c r="W44" s="49"/>
      <c r="X44" s="49"/>
      <c r="Y44" s="174" t="s">
        <v>107</v>
      </c>
      <c r="Z44" s="259">
        <v>273</v>
      </c>
      <c r="AA44" s="256">
        <v>273</v>
      </c>
      <c r="AB44" s="256">
        <v>273</v>
      </c>
      <c r="AC44" s="260">
        <v>273</v>
      </c>
      <c r="AD44" s="52"/>
      <c r="AF44" s="52"/>
      <c r="AG44" s="52"/>
    </row>
    <row r="45" spans="22:33" ht="19.5" thickBot="1" x14ac:dyDescent="0.35">
      <c r="V45" s="52"/>
      <c r="W45" s="49"/>
      <c r="X45" s="28"/>
      <c r="Y45" s="172" t="str">
        <f>ChartData!Z23</f>
        <v>Total Payment Requirement</v>
      </c>
      <c r="Z45" s="259">
        <f>ChartData!AA23</f>
        <v>697.96913862148085</v>
      </c>
      <c r="AA45" s="256">
        <f>ChartData!AB23</f>
        <v>534.93910695709826</v>
      </c>
      <c r="AB45" s="256">
        <f>ChartData!AC23</f>
        <v>465.37898216118276</v>
      </c>
      <c r="AC45" s="260">
        <f>ChartData!AD23</f>
        <v>390.32805175515915</v>
      </c>
      <c r="AD45" s="52"/>
      <c r="AF45" s="52"/>
      <c r="AG45" s="52"/>
    </row>
    <row r="46" spans="22:33" ht="18.75" x14ac:dyDescent="0.3">
      <c r="V46" s="52"/>
      <c r="W46" s="49"/>
      <c r="X46" s="270"/>
      <c r="Y46" s="271" t="str">
        <f>ChartData!Z24</f>
        <v>Gross Payment Savings</v>
      </c>
      <c r="Z46" s="261" t="str">
        <f>ChartData!AA24</f>
        <v>N/A</v>
      </c>
      <c r="AA46" s="262">
        <f>ChartData!AB24</f>
        <v>163.03003166438259</v>
      </c>
      <c r="AB46" s="262">
        <f>ChartData!AC24</f>
        <v>232.59015646029809</v>
      </c>
      <c r="AC46" s="263">
        <f>ChartData!AD24</f>
        <v>307.6410868663217</v>
      </c>
      <c r="AD46" s="52"/>
      <c r="AF46" s="52"/>
      <c r="AG46" s="52"/>
    </row>
    <row r="47" spans="22:33" ht="19.5" thickBot="1" x14ac:dyDescent="0.35">
      <c r="V47" s="52"/>
      <c r="W47" s="49"/>
      <c r="X47" s="272"/>
      <c r="Y47" s="273" t="str">
        <f>ChartData!Z25</f>
        <v>NPV Savings @ 3%</v>
      </c>
      <c r="Z47" s="264" t="str">
        <f>ChartData!AA25</f>
        <v>N/A</v>
      </c>
      <c r="AA47" s="265">
        <f>ChartData!AB25</f>
        <v>84.933668107691531</v>
      </c>
      <c r="AB47" s="265">
        <f>ChartData!AC25</f>
        <v>113.41375081401891</v>
      </c>
      <c r="AC47" s="266">
        <f>ChartData!AD25</f>
        <v>147.24133370657171</v>
      </c>
      <c r="AD47" s="52"/>
      <c r="AF47" s="52"/>
      <c r="AG47" s="52"/>
    </row>
    <row r="48" spans="22:33" x14ac:dyDescent="0.25">
      <c r="V48" s="52"/>
      <c r="W48" s="49"/>
      <c r="X48" s="52"/>
      <c r="Y48" s="52"/>
      <c r="Z48" s="52"/>
      <c r="AA48" s="52"/>
      <c r="AB48" s="52"/>
      <c r="AC48" s="52"/>
      <c r="AD48" s="52"/>
      <c r="AF48" s="52"/>
      <c r="AG48" s="52"/>
    </row>
    <row r="49" spans="23:33" x14ac:dyDescent="0.25">
      <c r="W49" s="52"/>
      <c r="Y49" s="52"/>
      <c r="Z49" s="52"/>
      <c r="AA49" s="52"/>
      <c r="AB49" s="52"/>
      <c r="AC49" s="52"/>
      <c r="AD49" s="52"/>
      <c r="AE49" s="52"/>
      <c r="AF49" s="52"/>
      <c r="AG49" s="52"/>
    </row>
  </sheetData>
  <mergeCells count="4">
    <mergeCell ref="Z42:AC42"/>
    <mergeCell ref="Z41:AC41"/>
    <mergeCell ref="A3:AC3"/>
    <mergeCell ref="A4:AC4"/>
  </mergeCells>
  <pageMargins left="0.25" right="0.25" top="0.75" bottom="0.75" header="0.3" footer="0.3"/>
  <pageSetup paperSize="3" scale="70" orientation="landscape" r:id="rId1"/>
  <headerFooter differentFirst="1">
    <oddFooter>&amp;R&amp;P</oddFooter>
  </headerFooter>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AP51"/>
  <sheetViews>
    <sheetView showGridLines="0" zoomScaleNormal="100" workbookViewId="0">
      <selection activeCell="AA4" sqref="A1:AA4"/>
    </sheetView>
  </sheetViews>
  <sheetFormatPr defaultColWidth="9.140625" defaultRowHeight="15" x14ac:dyDescent="0.25"/>
  <cols>
    <col min="1" max="1" width="3.5703125" style="49" customWidth="1"/>
    <col min="2" max="3" width="5" style="49" bestFit="1" customWidth="1"/>
    <col min="4" max="4" width="14.7109375" style="49" customWidth="1"/>
    <col min="5" max="5" width="6.28515625" style="49" customWidth="1"/>
    <col min="6" max="6" width="12.28515625" style="49" customWidth="1"/>
    <col min="7" max="7" width="13" style="49" bestFit="1" customWidth="1"/>
    <col min="8" max="8" width="9.5703125" style="49" bestFit="1" customWidth="1"/>
    <col min="9" max="9" width="11.85546875" style="49" bestFit="1" customWidth="1"/>
    <col min="10" max="10" width="14.85546875" style="49" customWidth="1"/>
    <col min="11" max="12" width="11.85546875" style="49" customWidth="1"/>
    <col min="13" max="13" width="12.28515625" style="49" customWidth="1"/>
    <col min="14" max="14" width="9.140625" style="49" bestFit="1" customWidth="1"/>
    <col min="15" max="15" width="12.28515625" style="49" bestFit="1" customWidth="1"/>
    <col min="16" max="16" width="12.28515625" style="49" customWidth="1"/>
    <col min="17" max="17" width="9.140625" style="49" bestFit="1" customWidth="1"/>
    <col min="18" max="18" width="12.28515625" style="49" bestFit="1" customWidth="1"/>
    <col min="19" max="19" width="12.28515625" style="49" customWidth="1"/>
    <col min="20" max="20" width="9.140625" style="49" bestFit="1" customWidth="1"/>
    <col min="21" max="21" width="12.28515625" style="49" bestFit="1" customWidth="1"/>
    <col min="22" max="22" width="12.28515625" style="49" customWidth="1"/>
    <col min="23" max="23" width="9.140625" style="49" bestFit="1" customWidth="1"/>
    <col min="24" max="24" width="12.28515625" style="49" bestFit="1" customWidth="1"/>
    <col min="25" max="25" width="12.28515625" style="49" customWidth="1"/>
    <col min="26" max="26" width="9.140625" style="49" bestFit="1" customWidth="1"/>
    <col min="27" max="27" width="12.28515625" style="49" bestFit="1" customWidth="1"/>
    <col min="28" max="28" width="15.140625" style="49" bestFit="1" customWidth="1"/>
    <col min="29" max="29" width="7" style="49" customWidth="1"/>
    <col min="30" max="30" width="15.5703125" style="49" bestFit="1" customWidth="1"/>
    <col min="31" max="31" width="4" style="49" customWidth="1"/>
    <col min="32" max="32" width="14.28515625" style="73" bestFit="1" customWidth="1"/>
    <col min="33" max="33" width="11.5703125" style="49" bestFit="1" customWidth="1"/>
    <col min="34" max="34" width="13.7109375" style="49" bestFit="1" customWidth="1"/>
    <col min="35" max="38" width="9.140625" style="49"/>
    <col min="39" max="39" width="4.85546875" style="49" customWidth="1"/>
    <col min="40" max="41" width="9.140625" style="49"/>
    <col min="42" max="42" width="12.5703125" style="215" bestFit="1" customWidth="1"/>
    <col min="43" max="16384" width="9.140625" style="49"/>
  </cols>
  <sheetData>
    <row r="1" spans="1:42" ht="11.25" customHeight="1" thickBot="1" x14ac:dyDescent="0.3"/>
    <row r="2" spans="1:42" ht="27.75" thickTop="1" thickBot="1" x14ac:dyDescent="0.45">
      <c r="D2" s="214" t="s">
        <v>261</v>
      </c>
      <c r="G2" s="246" t="s">
        <v>141</v>
      </c>
      <c r="H2" s="244">
        <v>7.0000000000000007E-2</v>
      </c>
      <c r="J2" s="214" t="s">
        <v>257</v>
      </c>
      <c r="M2" s="424"/>
      <c r="N2" s="425"/>
      <c r="AF2" s="535" t="s">
        <v>262</v>
      </c>
    </row>
    <row r="3" spans="1:42" ht="27.75" thickTop="1" thickBot="1" x14ac:dyDescent="0.45">
      <c r="D3" s="214"/>
      <c r="G3" s="247" t="s">
        <v>142</v>
      </c>
      <c r="H3" s="244">
        <v>0.03</v>
      </c>
      <c r="M3" s="424"/>
      <c r="N3" s="425"/>
      <c r="AF3" s="535" t="s">
        <v>260</v>
      </c>
    </row>
    <row r="4" spans="1:42" ht="15.75" thickTop="1" x14ac:dyDescent="0.25">
      <c r="G4" s="248"/>
      <c r="H4" s="250"/>
      <c r="M4" s="349"/>
      <c r="N4" s="426"/>
    </row>
    <row r="5" spans="1:42" x14ac:dyDescent="0.25">
      <c r="G5" s="248" t="s">
        <v>143</v>
      </c>
      <c r="H5" s="250">
        <v>5</v>
      </c>
      <c r="M5" s="349"/>
      <c r="N5" s="426"/>
      <c r="AG5" s="540"/>
      <c r="AH5" s="540"/>
      <c r="AI5" s="540"/>
      <c r="AJ5" s="540"/>
      <c r="AK5" s="540"/>
      <c r="AL5" s="540"/>
    </row>
    <row r="6" spans="1:42" x14ac:dyDescent="0.25">
      <c r="G6" s="248" t="s">
        <v>144</v>
      </c>
      <c r="H6" s="251">
        <f>H15+1-H5</f>
        <v>17</v>
      </c>
      <c r="M6" s="349"/>
      <c r="N6" s="427"/>
    </row>
    <row r="7" spans="1:42" x14ac:dyDescent="0.25">
      <c r="G7" s="248" t="s">
        <v>145</v>
      </c>
      <c r="H7" s="252">
        <f>1/(-PMT((1+H2)/(1+H3)-1,H5,1,0,1))</f>
        <v>4.6398839816425737</v>
      </c>
      <c r="M7" s="349"/>
      <c r="N7" s="428"/>
    </row>
    <row r="8" spans="1:42" x14ac:dyDescent="0.25">
      <c r="G8" s="249" t="s">
        <v>146</v>
      </c>
      <c r="H8" s="253">
        <f>1/(-PMT((1+H2)/(1+H3)-1,H6,1,0,1)*(1+H2)^0.5)</f>
        <v>12.328870733796299</v>
      </c>
      <c r="M8" s="349"/>
      <c r="N8" s="428"/>
    </row>
    <row r="10" spans="1:42" x14ac:dyDescent="0.25">
      <c r="C10" s="411"/>
      <c r="D10" s="590" t="s">
        <v>159</v>
      </c>
      <c r="E10" s="591"/>
      <c r="F10" s="591"/>
      <c r="G10" s="591"/>
      <c r="H10" s="591"/>
      <c r="I10" s="591"/>
      <c r="J10" s="591"/>
      <c r="K10" s="591"/>
      <c r="L10" s="591"/>
      <c r="M10" s="591"/>
      <c r="N10" s="591"/>
      <c r="O10" s="591"/>
      <c r="P10" s="591"/>
      <c r="Q10" s="591"/>
      <c r="R10" s="591"/>
      <c r="S10" s="591"/>
      <c r="T10" s="591"/>
      <c r="U10" s="591"/>
      <c r="V10" s="591"/>
      <c r="W10" s="591"/>
      <c r="X10" s="591"/>
      <c r="Y10" s="591"/>
      <c r="Z10" s="591"/>
      <c r="AA10" s="591"/>
      <c r="AB10" s="591"/>
      <c r="AC10" s="591"/>
      <c r="AD10" s="592"/>
      <c r="AE10" s="219"/>
      <c r="AF10" s="408"/>
      <c r="AG10" s="409"/>
      <c r="AH10" s="410"/>
    </row>
    <row r="11" spans="1:42" x14ac:dyDescent="0.25">
      <c r="C11" s="412" t="s">
        <v>166</v>
      </c>
      <c r="D11" s="413"/>
      <c r="E11" s="414" t="s">
        <v>155</v>
      </c>
      <c r="F11" s="415"/>
      <c r="G11" s="15"/>
      <c r="H11" s="326" t="s">
        <v>156</v>
      </c>
      <c r="I11" s="327"/>
      <c r="J11" s="15"/>
      <c r="K11" s="326" t="s">
        <v>157</v>
      </c>
      <c r="L11" s="327"/>
      <c r="M11" s="624" t="s">
        <v>158</v>
      </c>
      <c r="N11" s="601"/>
      <c r="O11" s="602"/>
      <c r="P11" s="624" t="s">
        <v>213</v>
      </c>
      <c r="Q11" s="601"/>
      <c r="R11" s="602"/>
      <c r="S11" s="624" t="s">
        <v>214</v>
      </c>
      <c r="T11" s="601"/>
      <c r="U11" s="602"/>
      <c r="V11" s="624" t="s">
        <v>215</v>
      </c>
      <c r="W11" s="601"/>
      <c r="X11" s="602"/>
      <c r="Y11" s="601" t="s">
        <v>218</v>
      </c>
      <c r="Z11" s="601"/>
      <c r="AA11" s="602"/>
      <c r="AB11" s="577" t="s">
        <v>114</v>
      </c>
      <c r="AC11" s="577"/>
      <c r="AD11" s="578"/>
      <c r="AE11" s="217"/>
      <c r="AF11" s="576"/>
      <c r="AG11" s="577"/>
      <c r="AH11" s="578"/>
    </row>
    <row r="12" spans="1:42" x14ac:dyDescent="0.25">
      <c r="B12" s="49" t="s">
        <v>161</v>
      </c>
      <c r="C12" s="88" t="s">
        <v>165</v>
      </c>
      <c r="D12" s="593" t="s">
        <v>147</v>
      </c>
      <c r="E12" s="594"/>
      <c r="F12" s="609"/>
      <c r="G12" s="595" t="s">
        <v>163</v>
      </c>
      <c r="H12" s="596"/>
      <c r="I12" s="597"/>
      <c r="J12" s="595" t="s">
        <v>148</v>
      </c>
      <c r="K12" s="596"/>
      <c r="L12" s="597"/>
      <c r="M12" s="568" t="s">
        <v>160</v>
      </c>
      <c r="N12" s="569"/>
      <c r="O12" s="570"/>
      <c r="P12" s="568" t="s">
        <v>160</v>
      </c>
      <c r="Q12" s="569"/>
      <c r="R12" s="570"/>
      <c r="S12" s="568" t="s">
        <v>160</v>
      </c>
      <c r="T12" s="569"/>
      <c r="U12" s="570"/>
      <c r="V12" s="568" t="s">
        <v>160</v>
      </c>
      <c r="W12" s="569"/>
      <c r="X12" s="570"/>
      <c r="Y12" s="568" t="s">
        <v>160</v>
      </c>
      <c r="Z12" s="569"/>
      <c r="AA12" s="570"/>
      <c r="AB12" s="566" t="s">
        <v>53</v>
      </c>
      <c r="AC12" s="566"/>
      <c r="AD12" s="567"/>
      <c r="AE12" s="218"/>
      <c r="AF12" s="565" t="s">
        <v>226</v>
      </c>
      <c r="AG12" s="566"/>
      <c r="AH12" s="567"/>
    </row>
    <row r="13" spans="1:42" x14ac:dyDescent="0.25">
      <c r="B13" s="49" t="s">
        <v>162</v>
      </c>
      <c r="C13" s="412" t="s">
        <v>162</v>
      </c>
      <c r="D13" s="74" t="s">
        <v>49</v>
      </c>
      <c r="E13" s="75" t="s">
        <v>50</v>
      </c>
      <c r="F13" s="76" t="s">
        <v>51</v>
      </c>
      <c r="G13" s="77" t="s">
        <v>49</v>
      </c>
      <c r="H13" s="78" t="s">
        <v>50</v>
      </c>
      <c r="I13" s="296" t="s">
        <v>51</v>
      </c>
      <c r="J13" s="77" t="s">
        <v>49</v>
      </c>
      <c r="K13" s="78" t="s">
        <v>50</v>
      </c>
      <c r="L13" s="296" t="s">
        <v>51</v>
      </c>
      <c r="M13" s="74" t="s">
        <v>49</v>
      </c>
      <c r="N13" s="75" t="s">
        <v>50</v>
      </c>
      <c r="O13" s="75" t="s">
        <v>51</v>
      </c>
      <c r="P13" s="74" t="s">
        <v>49</v>
      </c>
      <c r="Q13" s="75" t="s">
        <v>50</v>
      </c>
      <c r="R13" s="75" t="s">
        <v>51</v>
      </c>
      <c r="S13" s="74" t="s">
        <v>49</v>
      </c>
      <c r="T13" s="75" t="s">
        <v>50</v>
      </c>
      <c r="U13" s="75" t="s">
        <v>51</v>
      </c>
      <c r="V13" s="74" t="s">
        <v>49</v>
      </c>
      <c r="W13" s="75" t="s">
        <v>50</v>
      </c>
      <c r="X13" s="75" t="s">
        <v>51</v>
      </c>
      <c r="Y13" s="74" t="s">
        <v>49</v>
      </c>
      <c r="Z13" s="75" t="s">
        <v>50</v>
      </c>
      <c r="AA13" s="76" t="s">
        <v>51</v>
      </c>
      <c r="AB13" s="123" t="s">
        <v>49</v>
      </c>
      <c r="AC13" s="123" t="s">
        <v>52</v>
      </c>
      <c r="AD13" s="294" t="s">
        <v>51</v>
      </c>
      <c r="AE13" s="88"/>
      <c r="AF13" s="122" t="s">
        <v>49</v>
      </c>
      <c r="AG13" s="123" t="s">
        <v>52</v>
      </c>
      <c r="AH13" s="294" t="s">
        <v>51</v>
      </c>
    </row>
    <row r="14" spans="1:42" ht="15.75" thickBot="1" x14ac:dyDescent="0.3">
      <c r="B14" s="49">
        <v>2013</v>
      </c>
      <c r="C14" s="49">
        <f>B14+3</f>
        <v>2016</v>
      </c>
      <c r="D14" s="87"/>
      <c r="E14" s="88"/>
      <c r="F14" s="89"/>
      <c r="G14" s="69"/>
      <c r="H14" s="70"/>
      <c r="I14" s="328"/>
      <c r="J14" s="306">
        <v>14550267</v>
      </c>
      <c r="K14" s="70"/>
      <c r="L14" s="328"/>
      <c r="M14" s="40"/>
      <c r="N14" s="115"/>
      <c r="O14" s="116"/>
      <c r="P14" s="87"/>
      <c r="Q14" s="88"/>
      <c r="R14" s="88"/>
      <c r="S14" s="87"/>
      <c r="T14" s="88"/>
      <c r="U14" s="88"/>
      <c r="V14" s="87"/>
      <c r="W14" s="88"/>
      <c r="X14" s="88"/>
      <c r="Y14" s="87"/>
      <c r="Z14" s="88"/>
      <c r="AA14" s="89"/>
      <c r="AB14" s="324"/>
      <c r="AC14" s="125"/>
      <c r="AD14" s="295"/>
      <c r="AE14" s="111"/>
      <c r="AF14" s="124"/>
      <c r="AG14" s="125"/>
      <c r="AH14" s="295"/>
    </row>
    <row r="15" spans="1:42" ht="16.5" thickTop="1" thickBot="1" x14ac:dyDescent="0.3">
      <c r="B15" s="49">
        <f>B14+1</f>
        <v>2014</v>
      </c>
      <c r="C15" s="49">
        <f t="shared" ref="C15:C45" si="0">B15+3</f>
        <v>2017</v>
      </c>
      <c r="D15" s="87"/>
      <c r="E15" s="75"/>
      <c r="F15" s="76"/>
      <c r="G15" s="329">
        <v>-39279139</v>
      </c>
      <c r="H15" s="292">
        <v>21</v>
      </c>
      <c r="I15" s="58">
        <v>-748177</v>
      </c>
      <c r="J15" s="307">
        <v>15919122</v>
      </c>
      <c r="K15" s="78"/>
      <c r="L15" s="296"/>
      <c r="M15" s="315">
        <f>317483254*0.069</f>
        <v>21906344.526000001</v>
      </c>
      <c r="N15" s="75"/>
      <c r="O15" s="76"/>
      <c r="P15" s="421">
        <f>181402822-174470583</f>
        <v>6932239</v>
      </c>
      <c r="Q15" s="440"/>
      <c r="R15" s="441"/>
      <c r="S15" s="421">
        <f>188610499-181402822</f>
        <v>7207677</v>
      </c>
      <c r="T15" s="440"/>
      <c r="U15" s="441"/>
      <c r="V15" s="421">
        <f>203896381-188610499</f>
        <v>15285882</v>
      </c>
      <c r="W15" s="75"/>
      <c r="X15" s="76"/>
      <c r="Y15" s="421">
        <f>238285065-203896381</f>
        <v>34388684</v>
      </c>
      <c r="Z15" s="75"/>
      <c r="AA15" s="76"/>
      <c r="AB15" s="255">
        <f>173024064+M15</f>
        <v>194930408.52599999</v>
      </c>
      <c r="AC15" s="255"/>
      <c r="AD15" s="296"/>
      <c r="AE15" s="111"/>
      <c r="AF15" s="92"/>
      <c r="AG15" s="255"/>
      <c r="AH15" s="296"/>
    </row>
    <row r="16" spans="1:42" ht="16.5" thickTop="1" thickBot="1" x14ac:dyDescent="0.3">
      <c r="A16" s="49">
        <v>1</v>
      </c>
      <c r="B16" s="49">
        <f>B15+1</f>
        <v>2015</v>
      </c>
      <c r="C16" s="49">
        <f t="shared" si="0"/>
        <v>2018</v>
      </c>
      <c r="D16" s="293">
        <v>197276421</v>
      </c>
      <c r="E16" s="245">
        <v>17</v>
      </c>
      <c r="F16" s="55">
        <f>-PMT(1.075/1.03-1,E16,D16*1.075^0.5,0,1)</f>
        <v>16573433.159497097</v>
      </c>
      <c r="G16" s="54">
        <f>G15*1.075-I15*1.075^0.5</f>
        <v>-41449348.000879563</v>
      </c>
      <c r="H16" s="63">
        <f>H15-1</f>
        <v>20</v>
      </c>
      <c r="I16" s="55">
        <f t="shared" ref="I16:I32" si="1">-PMT(1.075/1.03-1,H16,G16*1.075^0.5,0,1)</f>
        <v>-3129650.7548805582</v>
      </c>
      <c r="J16" s="293">
        <v>17399912</v>
      </c>
      <c r="K16" s="245">
        <v>20</v>
      </c>
      <c r="L16" s="55">
        <f>-PMT(1.075/1.03-1,K16,J16*1.075^0.5,0,1)</f>
        <v>1313787.8001000094</v>
      </c>
      <c r="M16" s="299">
        <f>M15*1.065</f>
        <v>23330256.920189999</v>
      </c>
      <c r="N16" s="71">
        <v>20</v>
      </c>
      <c r="O16" s="303">
        <f>-PMT(1.065/1.03-1,N16,M16*1.065^0.5,0,1)</f>
        <v>1623303.0984713284</v>
      </c>
      <c r="P16" s="299">
        <f>P15*1.065</f>
        <v>7382834.5349999992</v>
      </c>
      <c r="Q16" s="71">
        <v>20</v>
      </c>
      <c r="R16" s="303">
        <f>-PMT(1.065/1.03-1,Q16,P16*1.065^0.5,0,1)</f>
        <v>513692.50742348988</v>
      </c>
      <c r="S16" s="299">
        <f>S15*1.065</f>
        <v>7676176.0049999999</v>
      </c>
      <c r="T16" s="71">
        <v>20</v>
      </c>
      <c r="U16" s="303">
        <f>-PMT(1.065/1.03-1,T16,S16*1.065^0.5,0,1)</f>
        <v>534103.00349261146</v>
      </c>
      <c r="V16" s="299">
        <f>V15*1.065</f>
        <v>16279464.33</v>
      </c>
      <c r="W16" s="71">
        <v>20</v>
      </c>
      <c r="X16" s="303">
        <f>-PMT(1.065/1.03-1,W16,V16*1.065^0.5,0,1)</f>
        <v>1132713.8393179448</v>
      </c>
      <c r="Y16" s="299">
        <f>Y15*1.065</f>
        <v>36623948.460000001</v>
      </c>
      <c r="Z16" s="71">
        <v>20</v>
      </c>
      <c r="AA16" s="303">
        <f>-PMT(1.065/1.03-1,Z16,Y16*1.065^0.5,0,1)</f>
        <v>2548268.937489612</v>
      </c>
      <c r="AB16" s="302">
        <f>D16+G16+J16+M16+P16+S16+V16+Y16</f>
        <v>264519665.24931046</v>
      </c>
      <c r="AC16" s="300">
        <v>20</v>
      </c>
      <c r="AD16" s="301">
        <f>F16+I16+L16+O16+R16+U16+X16+AA16</f>
        <v>21109651.590911537</v>
      </c>
      <c r="AE16" s="111"/>
      <c r="AF16" s="293">
        <f>AB16</f>
        <v>264519665.24931046</v>
      </c>
      <c r="AG16" s="245">
        <v>20</v>
      </c>
      <c r="AH16" s="55">
        <f>-PMT(1.075-1,AG16,AF16*1.075^0.5,0,1)</f>
        <v>25025811.56722106</v>
      </c>
      <c r="AP16" s="216">
        <v>500000</v>
      </c>
    </row>
    <row r="17" spans="1:42" ht="15.75" thickTop="1" x14ac:dyDescent="0.25">
      <c r="A17" s="49">
        <f>A16+1</f>
        <v>2</v>
      </c>
      <c r="B17" s="49">
        <f t="shared" ref="B17:B45" si="2">B16+1</f>
        <v>2016</v>
      </c>
      <c r="C17" s="49">
        <f t="shared" si="0"/>
        <v>2019</v>
      </c>
      <c r="D17" s="54">
        <f>D16*1.075-F16*1.075^0.5</f>
        <v>194888451.33823955</v>
      </c>
      <c r="E17" s="63">
        <f>E16-1</f>
        <v>16</v>
      </c>
      <c r="F17" s="55">
        <f t="shared" ref="F17:F32" si="3">-PMT(1.075/1.03-1,E17,D17*1.075^0.5,0,1)</f>
        <v>17070636.154282011</v>
      </c>
      <c r="G17" s="54">
        <f t="shared" ref="G17:G32" si="4">G16*1.075-I16*1.075^0.5</f>
        <v>-41313158.134196609</v>
      </c>
      <c r="H17" s="63">
        <f t="shared" ref="H17:H35" si="5">H16-1</f>
        <v>19</v>
      </c>
      <c r="I17" s="55">
        <f t="shared" si="1"/>
        <v>-3223540.2775269751</v>
      </c>
      <c r="J17" s="54">
        <f>J16*1.075-L16*1.075^0.5</f>
        <v>17342741.216625433</v>
      </c>
      <c r="K17" s="63">
        <f>K16-1</f>
        <v>19</v>
      </c>
      <c r="L17" s="55">
        <f t="shared" ref="L17:L35" si="6">-PMT(1.075/1.03-1,K17,J17*1.075^0.5,0,1)</f>
        <v>1353201.4341030093</v>
      </c>
      <c r="M17" s="54">
        <f>M16*1.065-O16*1.065^0.5</f>
        <v>23171493.6981037</v>
      </c>
      <c r="N17" s="63">
        <f>N16-1</f>
        <v>19</v>
      </c>
      <c r="O17" s="55">
        <f>-PMT(1.065/1.03-1,N17,M17*1.065^0.5,0,1)</f>
        <v>1672002.1914254683</v>
      </c>
      <c r="P17" s="54">
        <f>P16*1.065-R16*1.065^0.5</f>
        <v>7332594.0853162985</v>
      </c>
      <c r="Q17" s="63">
        <f>Q16-1</f>
        <v>19</v>
      </c>
      <c r="R17" s="55">
        <f t="shared" ref="R17:R35" si="7">-PMT(1.065/1.03-1,Q17,P17*1.065^0.5,0,1)</f>
        <v>529103.28264619445</v>
      </c>
      <c r="S17" s="54">
        <f>S16*1.065-U16*1.065^0.5</f>
        <v>7623939.3562556533</v>
      </c>
      <c r="T17" s="63">
        <f>T16-1</f>
        <v>19</v>
      </c>
      <c r="U17" s="55">
        <f>-PMT(1.065/1.03-1,T17,S17*1.065^0.5,0,1)</f>
        <v>550126.09359738987</v>
      </c>
      <c r="V17" s="54">
        <f>V16*1.065-X16*1.065^0.5</f>
        <v>16168682.000439238</v>
      </c>
      <c r="W17" s="63">
        <f>W16-1</f>
        <v>19</v>
      </c>
      <c r="X17" s="55">
        <f>-PMT(1.065/1.03-1,W17,V17*1.065^0.5,0,1)</f>
        <v>1166695.2544974834</v>
      </c>
      <c r="Y17" s="54">
        <f>Y16*1.065-AA16*1.065^0.5</f>
        <v>36374721.197611809</v>
      </c>
      <c r="Z17" s="63">
        <f>Z16-1</f>
        <v>19</v>
      </c>
      <c r="AA17" s="55">
        <f>-PMT(1.065/1.03-1,Z17,Y17*1.065^0.5,0,1)</f>
        <v>2624717.0056143003</v>
      </c>
      <c r="AB17" s="56">
        <f t="shared" ref="AB17:AB35" si="8">D17+G17+J17+M17+P17+S17+V17+Y17</f>
        <v>261589464.75839505</v>
      </c>
      <c r="AC17" s="63">
        <f>AC16-1</f>
        <v>19</v>
      </c>
      <c r="AD17" s="297">
        <f t="shared" ref="AD17:AD35" si="9">F17+I17+L17+O17+R17+U17+X17+AA17</f>
        <v>21742941.13863888</v>
      </c>
      <c r="AE17" s="111"/>
      <c r="AF17" s="54">
        <f>AF16*1.07375-AH16*1.07375^0.5</f>
        <v>258095766.9027023</v>
      </c>
      <c r="AG17" s="63">
        <f>AG16-1</f>
        <v>19</v>
      </c>
      <c r="AH17" s="55">
        <f>-PMT(1.07375-1,AG17,AF17*1.07375^0.5,0,1)</f>
        <v>24780633.162068117</v>
      </c>
      <c r="AP17" s="216">
        <v>500000</v>
      </c>
    </row>
    <row r="18" spans="1:42" x14ac:dyDescent="0.25">
      <c r="A18" s="49">
        <f t="shared" ref="A18:A45" si="10">A17+1</f>
        <v>3</v>
      </c>
      <c r="B18" s="49">
        <f t="shared" si="2"/>
        <v>2017</v>
      </c>
      <c r="C18" s="49">
        <f t="shared" si="0"/>
        <v>2020</v>
      </c>
      <c r="D18" s="54">
        <f t="shared" ref="D18:D32" si="11">D17*1.075-F17*1.075^0.5</f>
        <v>191805872.91474429</v>
      </c>
      <c r="E18" s="63">
        <f t="shared" ref="E18:E32" si="12">E17-1</f>
        <v>15</v>
      </c>
      <c r="F18" s="55">
        <f t="shared" si="3"/>
        <v>17582755.23891047</v>
      </c>
      <c r="G18" s="54">
        <f t="shared" si="4"/>
        <v>-41069407.298509963</v>
      </c>
      <c r="H18" s="63">
        <f t="shared" si="5"/>
        <v>18</v>
      </c>
      <c r="I18" s="55">
        <f t="shared" si="1"/>
        <v>-3320246.485852784</v>
      </c>
      <c r="J18" s="54">
        <f t="shared" ref="J18:J35" si="13">J17*1.075-L17*1.075^0.5</f>
        <v>17240417.69899654</v>
      </c>
      <c r="K18" s="63">
        <f t="shared" ref="K18:K35" si="14">K17-1</f>
        <v>18</v>
      </c>
      <c r="L18" s="55">
        <f t="shared" si="6"/>
        <v>1393797.4771260999</v>
      </c>
      <c r="M18" s="54">
        <f>M17*1.065-O17*1.065^0.5</f>
        <v>22952153.968924832</v>
      </c>
      <c r="N18" s="63">
        <f t="shared" ref="N18:N35" si="15">N17-1</f>
        <v>18</v>
      </c>
      <c r="O18" s="55">
        <f t="shared" ref="O18:O35" si="16">-PMT(1.065/1.03-1,N18,M18*1.065^0.5,0,1)</f>
        <v>1722162.257168232</v>
      </c>
      <c r="P18" s="54">
        <f>P17*1.065-R17*1.065^0.5</f>
        <v>7263184.2655693972</v>
      </c>
      <c r="Q18" s="63">
        <f t="shared" ref="Q18:Q35" si="17">Q17-1</f>
        <v>18</v>
      </c>
      <c r="R18" s="55">
        <f t="shared" si="7"/>
        <v>544976.3811255804</v>
      </c>
      <c r="S18" s="54">
        <f>S17*1.065-U17*1.065^0.5</f>
        <v>7551771.6826708438</v>
      </c>
      <c r="T18" s="63">
        <f t="shared" ref="T18:T35" si="18">T17-1</f>
        <v>18</v>
      </c>
      <c r="U18" s="55">
        <f t="shared" ref="U18:U35" si="19">-PMT(1.065/1.03-1,T18,S18*1.065^0.5,0,1)</f>
        <v>566629.87640531152</v>
      </c>
      <c r="V18" s="54">
        <f>V17*1.065-X17*1.065^0.5</f>
        <v>16015630.394126702</v>
      </c>
      <c r="W18" s="63">
        <f t="shared" ref="W18:W35" si="20">W17-1</f>
        <v>18</v>
      </c>
      <c r="X18" s="55">
        <f t="shared" ref="X18:X35" si="21">-PMT(1.065/1.03-1,W18,V18*1.065^0.5,0,1)</f>
        <v>1201696.1121324077</v>
      </c>
      <c r="Y18" s="54">
        <f>Y17*1.065-AA17*1.065^0.5</f>
        <v>36030400.645799741</v>
      </c>
      <c r="Z18" s="63">
        <f t="shared" ref="Z18:Z35" si="22">Z17-1</f>
        <v>18</v>
      </c>
      <c r="AA18" s="55">
        <f t="shared" ref="AA18:AA35" si="23">-PMT(1.065/1.03-1,Z18,Y18*1.065^0.5,0,1)</f>
        <v>2703458.5157827297</v>
      </c>
      <c r="AB18" s="56">
        <f t="shared" si="8"/>
        <v>257790024.27232236</v>
      </c>
      <c r="AC18" s="63">
        <f t="shared" ref="AC18:AC44" si="24">AC17-1</f>
        <v>18</v>
      </c>
      <c r="AD18" s="297">
        <f t="shared" si="9"/>
        <v>22395229.372798044</v>
      </c>
      <c r="AE18" s="111"/>
      <c r="AF18" s="54">
        <f>AF17*1.0725-AH17*1.0725^0.5</f>
        <v>251144495.78597185</v>
      </c>
      <c r="AG18" s="63">
        <f t="shared" ref="AG18:AG35" si="25">AG17-1</f>
        <v>18</v>
      </c>
      <c r="AH18" s="55">
        <f>-PMT(1.0725-1,AG18,AF18*1.0725^0.5,0,1)</f>
        <v>24545043.791414604</v>
      </c>
      <c r="AP18" s="216">
        <v>500000</v>
      </c>
    </row>
    <row r="19" spans="1:42" x14ac:dyDescent="0.25">
      <c r="A19" s="49">
        <f t="shared" si="10"/>
        <v>4</v>
      </c>
      <c r="B19" s="49">
        <f t="shared" si="2"/>
        <v>2018</v>
      </c>
      <c r="C19" s="49">
        <f t="shared" si="0"/>
        <v>2021</v>
      </c>
      <c r="D19" s="54">
        <f t="shared" si="11"/>
        <v>187961124.74127096</v>
      </c>
      <c r="E19" s="63">
        <f t="shared" si="12"/>
        <v>14</v>
      </c>
      <c r="F19" s="55">
        <f t="shared" si="3"/>
        <v>18110237.896077786</v>
      </c>
      <c r="G19" s="54">
        <f t="shared" si="4"/>
        <v>-40707108.019274279</v>
      </c>
      <c r="H19" s="63">
        <f t="shared" si="5"/>
        <v>17</v>
      </c>
      <c r="I19" s="55">
        <f t="shared" si="1"/>
        <v>-3419853.8804283687</v>
      </c>
      <c r="J19" s="54">
        <f t="shared" si="13"/>
        <v>17088329.044279203</v>
      </c>
      <c r="K19" s="63">
        <f t="shared" si="14"/>
        <v>17</v>
      </c>
      <c r="L19" s="55">
        <f t="shared" si="6"/>
        <v>1435611.4014398823</v>
      </c>
      <c r="M19" s="54">
        <f t="shared" ref="M19:M35" si="26">M18*1.065-O18*1.065^0.5</f>
        <v>22666792.552762669</v>
      </c>
      <c r="N19" s="63">
        <f t="shared" si="15"/>
        <v>17</v>
      </c>
      <c r="O19" s="55">
        <f t="shared" si="16"/>
        <v>1773827.1248832783</v>
      </c>
      <c r="P19" s="54">
        <f t="shared" ref="P19:P35" si="27">P18*1.065-R18*1.065^0.5</f>
        <v>7172881.954480174</v>
      </c>
      <c r="Q19" s="63">
        <f t="shared" si="17"/>
        <v>17</v>
      </c>
      <c r="R19" s="55">
        <f t="shared" si="7"/>
        <v>561325.6725593477</v>
      </c>
      <c r="S19" s="54">
        <f t="shared" ref="S19:S35" si="28">S18*1.065-U18*1.065^0.5</f>
        <v>7457881.398350779</v>
      </c>
      <c r="T19" s="63">
        <f t="shared" si="18"/>
        <v>17</v>
      </c>
      <c r="U19" s="55">
        <f t="shared" si="19"/>
        <v>583628.77269747073</v>
      </c>
      <c r="V19" s="54">
        <f t="shared" ref="V19:V35" si="29">V18*1.065-X18*1.065^0.5</f>
        <v>15816509.955313621</v>
      </c>
      <c r="W19" s="63">
        <f t="shared" si="20"/>
        <v>17</v>
      </c>
      <c r="X19" s="55">
        <f t="shared" si="21"/>
        <v>1237746.9954963801</v>
      </c>
      <c r="Y19" s="54">
        <f t="shared" ref="Y19:Y35" si="30">Y18*1.065-AA18*1.065^0.5</f>
        <v>35582438.935230181</v>
      </c>
      <c r="Z19" s="63">
        <f t="shared" si="22"/>
        <v>17</v>
      </c>
      <c r="AA19" s="55">
        <f t="shared" si="23"/>
        <v>2784562.2712562103</v>
      </c>
      <c r="AB19" s="56">
        <f t="shared" si="8"/>
        <v>253038850.56241328</v>
      </c>
      <c r="AC19" s="63">
        <f t="shared" si="24"/>
        <v>17</v>
      </c>
      <c r="AD19" s="297">
        <f t="shared" si="9"/>
        <v>23067086.253981985</v>
      </c>
      <c r="AE19" s="111"/>
      <c r="AF19" s="54">
        <f>AF18*1.07-AH18*1.07^0.5</f>
        <v>243335019.77051881</v>
      </c>
      <c r="AG19" s="63">
        <f t="shared" si="25"/>
        <v>17</v>
      </c>
      <c r="AH19" s="55">
        <f>-PMT(1.07-1,AG19,AF19*1.07^0.5,0,1)</f>
        <v>24094588.726956178</v>
      </c>
      <c r="AP19" s="216">
        <v>500000</v>
      </c>
    </row>
    <row r="20" spans="1:42" x14ac:dyDescent="0.25">
      <c r="A20" s="49">
        <f t="shared" si="10"/>
        <v>5</v>
      </c>
      <c r="B20" s="49">
        <f t="shared" si="2"/>
        <v>2019</v>
      </c>
      <c r="C20" s="49">
        <f t="shared" si="0"/>
        <v>2022</v>
      </c>
      <c r="D20" s="54">
        <f t="shared" si="11"/>
        <v>183281114.79552478</v>
      </c>
      <c r="E20" s="63">
        <f t="shared" si="12"/>
        <v>13</v>
      </c>
      <c r="F20" s="55">
        <f t="shared" si="3"/>
        <v>18653545.032960124</v>
      </c>
      <c r="G20" s="54">
        <f t="shared" si="4"/>
        <v>-40214361.149297193</v>
      </c>
      <c r="H20" s="63">
        <f t="shared" si="5"/>
        <v>16</v>
      </c>
      <c r="I20" s="55">
        <f t="shared" si="1"/>
        <v>-3522449.4968412207</v>
      </c>
      <c r="J20" s="54">
        <f t="shared" si="13"/>
        <v>16881480.140993807</v>
      </c>
      <c r="K20" s="63">
        <f t="shared" si="14"/>
        <v>16</v>
      </c>
      <c r="L20" s="55">
        <f t="shared" si="6"/>
        <v>1478679.7434830796</v>
      </c>
      <c r="M20" s="54">
        <f t="shared" si="26"/>
        <v>22309565.101825699</v>
      </c>
      <c r="N20" s="63">
        <f t="shared" si="15"/>
        <v>16</v>
      </c>
      <c r="O20" s="55">
        <f t="shared" si="16"/>
        <v>1827041.9386297767</v>
      </c>
      <c r="P20" s="54">
        <f t="shared" si="27"/>
        <v>7059837.7145196134</v>
      </c>
      <c r="Q20" s="63">
        <f t="shared" si="17"/>
        <v>16</v>
      </c>
      <c r="R20" s="55">
        <f t="shared" si="7"/>
        <v>578165.442736128</v>
      </c>
      <c r="S20" s="54">
        <f t="shared" si="28"/>
        <v>7340345.5822390998</v>
      </c>
      <c r="T20" s="63">
        <f t="shared" si="18"/>
        <v>16</v>
      </c>
      <c r="U20" s="55">
        <f t="shared" si="19"/>
        <v>601137.63587839482</v>
      </c>
      <c r="V20" s="54">
        <f t="shared" si="29"/>
        <v>15567242.595544748</v>
      </c>
      <c r="W20" s="63">
        <f t="shared" si="20"/>
        <v>16</v>
      </c>
      <c r="X20" s="55">
        <f t="shared" si="21"/>
        <v>1274879.4053612712</v>
      </c>
      <c r="Y20" s="54">
        <f t="shared" si="30"/>
        <v>35021661.580897205</v>
      </c>
      <c r="Z20" s="63">
        <f t="shared" si="22"/>
        <v>16</v>
      </c>
      <c r="AA20" s="55">
        <f t="shared" si="23"/>
        <v>2868099.1393938963</v>
      </c>
      <c r="AB20" s="56">
        <f t="shared" si="8"/>
        <v>247246886.36224777</v>
      </c>
      <c r="AC20" s="63">
        <f t="shared" si="24"/>
        <v>16</v>
      </c>
      <c r="AD20" s="297">
        <f t="shared" si="9"/>
        <v>23759098.84160145</v>
      </c>
      <c r="AE20" s="111"/>
      <c r="AF20" s="54">
        <f>AF19*1.07-AH19*1.07^0.5</f>
        <v>235444834.77579552</v>
      </c>
      <c r="AG20" s="63">
        <f t="shared" si="25"/>
        <v>16</v>
      </c>
      <c r="AH20" s="55">
        <f t="shared" ref="AH20:AH35" si="31">-PMT(1.07-1,AG20,AF20*1.07^0.5,0,1)</f>
        <v>24094588.726956174</v>
      </c>
      <c r="AP20" s="216">
        <v>500000</v>
      </c>
    </row>
    <row r="21" spans="1:42" x14ac:dyDescent="0.25">
      <c r="A21" s="49">
        <f t="shared" si="10"/>
        <v>6</v>
      </c>
      <c r="B21" s="49">
        <f t="shared" si="2"/>
        <v>2020</v>
      </c>
      <c r="C21" s="49">
        <f t="shared" si="0"/>
        <v>2023</v>
      </c>
      <c r="D21" s="54">
        <f t="shared" si="11"/>
        <v>177686791.27480736</v>
      </c>
      <c r="E21" s="63">
        <f t="shared" si="12"/>
        <v>12</v>
      </c>
      <c r="F21" s="55">
        <f t="shared" si="3"/>
        <v>19213151.383948922</v>
      </c>
      <c r="G21" s="54">
        <f t="shared" si="4"/>
        <v>-39578284.864929147</v>
      </c>
      <c r="H21" s="63">
        <f t="shared" si="5"/>
        <v>15</v>
      </c>
      <c r="I21" s="55">
        <f t="shared" si="1"/>
        <v>-3628122.9817464566</v>
      </c>
      <c r="J21" s="54">
        <f t="shared" si="13"/>
        <v>16614463.362513814</v>
      </c>
      <c r="K21" s="63">
        <f t="shared" si="14"/>
        <v>15</v>
      </c>
      <c r="L21" s="55">
        <f t="shared" si="6"/>
        <v>1523040.1357875718</v>
      </c>
      <c r="M21" s="54">
        <f t="shared" si="26"/>
        <v>21874200.79757183</v>
      </c>
      <c r="N21" s="63">
        <f t="shared" si="15"/>
        <v>15</v>
      </c>
      <c r="O21" s="55">
        <f t="shared" si="16"/>
        <v>1881853.1967886696</v>
      </c>
      <c r="P21" s="54">
        <f t="shared" si="27"/>
        <v>6922067.1519515645</v>
      </c>
      <c r="Q21" s="63">
        <f t="shared" si="17"/>
        <v>15</v>
      </c>
      <c r="R21" s="55">
        <f t="shared" si="7"/>
        <v>595510.40601821186</v>
      </c>
      <c r="S21" s="54">
        <f t="shared" si="28"/>
        <v>7197100.9948700275</v>
      </c>
      <c r="T21" s="63">
        <f t="shared" si="18"/>
        <v>15</v>
      </c>
      <c r="U21" s="55">
        <f t="shared" si="19"/>
        <v>619171.76495474658</v>
      </c>
      <c r="V21" s="54">
        <f t="shared" si="29"/>
        <v>15263452.642184973</v>
      </c>
      <c r="W21" s="63">
        <f t="shared" si="20"/>
        <v>15</v>
      </c>
      <c r="X21" s="55">
        <f t="shared" si="21"/>
        <v>1313125.7875221092</v>
      </c>
      <c r="Y21" s="54">
        <f t="shared" si="30"/>
        <v>34338224.621978901</v>
      </c>
      <c r="Z21" s="63">
        <f t="shared" si="22"/>
        <v>15</v>
      </c>
      <c r="AA21" s="55">
        <f t="shared" si="23"/>
        <v>2954142.1135757132</v>
      </c>
      <c r="AB21" s="56">
        <f t="shared" si="8"/>
        <v>240318015.98094934</v>
      </c>
      <c r="AC21" s="63">
        <f t="shared" si="24"/>
        <v>15</v>
      </c>
      <c r="AD21" s="297">
        <f t="shared" si="9"/>
        <v>24471871.806849487</v>
      </c>
      <c r="AE21" s="111"/>
      <c r="AF21" s="54">
        <f>AF20*1.07-AH20*1.07^0.5</f>
        <v>227002336.83144161</v>
      </c>
      <c r="AG21" s="63">
        <f t="shared" si="25"/>
        <v>15</v>
      </c>
      <c r="AH21" s="55">
        <f t="shared" si="31"/>
        <v>24094588.726956178</v>
      </c>
      <c r="AP21" s="216">
        <v>500000</v>
      </c>
    </row>
    <row r="22" spans="1:42" x14ac:dyDescent="0.25">
      <c r="A22" s="49">
        <f t="shared" si="10"/>
        <v>7</v>
      </c>
      <c r="B22" s="49">
        <f t="shared" si="2"/>
        <v>2021</v>
      </c>
      <c r="C22" s="49">
        <f t="shared" si="0"/>
        <v>2024</v>
      </c>
      <c r="D22" s="54">
        <f t="shared" si="11"/>
        <v>171092681.27612472</v>
      </c>
      <c r="E22" s="63">
        <f t="shared" si="12"/>
        <v>11</v>
      </c>
      <c r="F22" s="55">
        <f t="shared" si="3"/>
        <v>19789545.925467394</v>
      </c>
      <c r="G22" s="54">
        <f t="shared" si="4"/>
        <v>-38784938.258116536</v>
      </c>
      <c r="H22" s="63">
        <f t="shared" si="5"/>
        <v>14</v>
      </c>
      <c r="I22" s="55">
        <f t="shared" si="1"/>
        <v>-3736966.6711988505</v>
      </c>
      <c r="J22" s="54">
        <f t="shared" si="13"/>
        <v>16281426.491976185</v>
      </c>
      <c r="K22" s="63">
        <f t="shared" si="14"/>
        <v>14</v>
      </c>
      <c r="L22" s="55">
        <f t="shared" si="6"/>
        <v>1568731.3398611988</v>
      </c>
      <c r="M22" s="54">
        <f t="shared" si="26"/>
        <v>21353973.232465286</v>
      </c>
      <c r="N22" s="63">
        <f t="shared" si="15"/>
        <v>14</v>
      </c>
      <c r="O22" s="55">
        <f t="shared" si="16"/>
        <v>1938308.79269233</v>
      </c>
      <c r="P22" s="54">
        <f t="shared" si="27"/>
        <v>6757441.7023962373</v>
      </c>
      <c r="Q22" s="63">
        <f t="shared" si="17"/>
        <v>14</v>
      </c>
      <c r="R22" s="55">
        <f t="shared" si="7"/>
        <v>613375.71819875832</v>
      </c>
      <c r="S22" s="54">
        <f t="shared" si="28"/>
        <v>7025934.497815527</v>
      </c>
      <c r="T22" s="63">
        <f t="shared" si="18"/>
        <v>14</v>
      </c>
      <c r="U22" s="55">
        <f t="shared" si="19"/>
        <v>637746.91790338908</v>
      </c>
      <c r="V22" s="54">
        <f t="shared" si="29"/>
        <v>14900446.520194706</v>
      </c>
      <c r="W22" s="63">
        <f t="shared" si="20"/>
        <v>14</v>
      </c>
      <c r="X22" s="55">
        <f t="shared" si="21"/>
        <v>1352519.5611477727</v>
      </c>
      <c r="Y22" s="54">
        <f t="shared" si="30"/>
        <v>33521568.911880605</v>
      </c>
      <c r="Z22" s="63">
        <f t="shared" si="22"/>
        <v>14</v>
      </c>
      <c r="AA22" s="55">
        <f t="shared" si="23"/>
        <v>3042766.3769829855</v>
      </c>
      <c r="AB22" s="56">
        <f t="shared" si="8"/>
        <v>232148534.37473673</v>
      </c>
      <c r="AC22" s="63">
        <f t="shared" si="24"/>
        <v>14</v>
      </c>
      <c r="AD22" s="297">
        <f t="shared" si="9"/>
        <v>25206027.961054977</v>
      </c>
      <c r="AE22" s="111"/>
      <c r="AF22" s="54">
        <f t="shared" ref="AF22:AF35" si="32">AF21*1.07-AH21*1.07^0.5</f>
        <v>217968864.03098291</v>
      </c>
      <c r="AG22" s="63">
        <f t="shared" si="25"/>
        <v>14</v>
      </c>
      <c r="AH22" s="55">
        <f t="shared" si="31"/>
        <v>24094588.72695617</v>
      </c>
      <c r="AP22" s="216">
        <v>500000</v>
      </c>
    </row>
    <row r="23" spans="1:42" x14ac:dyDescent="0.25">
      <c r="A23" s="49">
        <f t="shared" si="10"/>
        <v>8</v>
      </c>
      <c r="B23" s="49">
        <f t="shared" si="2"/>
        <v>2022</v>
      </c>
      <c r="C23" s="49">
        <f t="shared" si="0"/>
        <v>2025</v>
      </c>
      <c r="D23" s="54">
        <f t="shared" si="11"/>
        <v>163406394.44721207</v>
      </c>
      <c r="E23" s="63">
        <f t="shared" si="12"/>
        <v>10</v>
      </c>
      <c r="F23" s="55">
        <f t="shared" si="3"/>
        <v>20383232.303231418</v>
      </c>
      <c r="G23" s="54">
        <f t="shared" si="4"/>
        <v>-37819239.116642512</v>
      </c>
      <c r="H23" s="63">
        <f t="shared" si="5"/>
        <v>13</v>
      </c>
      <c r="I23" s="55">
        <f t="shared" si="1"/>
        <v>-3849075.6713348161</v>
      </c>
      <c r="J23" s="54">
        <f t="shared" si="13"/>
        <v>15876038.207466448</v>
      </c>
      <c r="K23" s="63">
        <f t="shared" si="14"/>
        <v>13</v>
      </c>
      <c r="L23" s="55">
        <f t="shared" si="6"/>
        <v>1615793.2800570345</v>
      </c>
      <c r="M23" s="54">
        <f t="shared" si="26"/>
        <v>20741669.357118353</v>
      </c>
      <c r="N23" s="63">
        <f t="shared" si="15"/>
        <v>13</v>
      </c>
      <c r="O23" s="55">
        <f t="shared" si="16"/>
        <v>1996458.0564730999</v>
      </c>
      <c r="P23" s="54">
        <f t="shared" si="27"/>
        <v>6563678.8041868489</v>
      </c>
      <c r="Q23" s="63">
        <f t="shared" si="17"/>
        <v>13</v>
      </c>
      <c r="R23" s="55">
        <f t="shared" si="7"/>
        <v>631776.98974472098</v>
      </c>
      <c r="S23" s="54">
        <f t="shared" si="28"/>
        <v>6824472.8366008531</v>
      </c>
      <c r="T23" s="63">
        <f t="shared" si="18"/>
        <v>13</v>
      </c>
      <c r="U23" s="55">
        <f t="shared" si="19"/>
        <v>656879.32544049073</v>
      </c>
      <c r="V23" s="54">
        <f t="shared" si="29"/>
        <v>14473191.083963102</v>
      </c>
      <c r="W23" s="63">
        <f t="shared" si="20"/>
        <v>13</v>
      </c>
      <c r="X23" s="55">
        <f t="shared" si="21"/>
        <v>1393095.1479822057</v>
      </c>
      <c r="Y23" s="54">
        <f t="shared" si="30"/>
        <v>32560371.371310115</v>
      </c>
      <c r="Z23" s="63">
        <f t="shared" si="22"/>
        <v>13</v>
      </c>
      <c r="AA23" s="55">
        <f t="shared" si="23"/>
        <v>3134049.3682924747</v>
      </c>
      <c r="AB23" s="56">
        <f t="shared" si="8"/>
        <v>222626576.99121526</v>
      </c>
      <c r="AC23" s="63">
        <f t="shared" si="24"/>
        <v>13</v>
      </c>
      <c r="AD23" s="297">
        <f t="shared" si="9"/>
        <v>25962208.799886629</v>
      </c>
      <c r="AE23" s="111"/>
      <c r="AF23" s="54">
        <f t="shared" si="32"/>
        <v>208303048.13449213</v>
      </c>
      <c r="AG23" s="63">
        <f t="shared" si="25"/>
        <v>13</v>
      </c>
      <c r="AH23" s="55">
        <f t="shared" si="31"/>
        <v>24094588.726956174</v>
      </c>
      <c r="AP23" s="216">
        <v>500000</v>
      </c>
    </row>
    <row r="24" spans="1:42" x14ac:dyDescent="0.25">
      <c r="A24" s="49">
        <f t="shared" si="10"/>
        <v>9</v>
      </c>
      <c r="B24" s="49">
        <f t="shared" si="2"/>
        <v>2023</v>
      </c>
      <c r="C24" s="49">
        <f t="shared" si="0"/>
        <v>2026</v>
      </c>
      <c r="D24" s="54">
        <f t="shared" si="11"/>
        <v>154528088.96839228</v>
      </c>
      <c r="E24" s="63">
        <f t="shared" si="12"/>
        <v>9</v>
      </c>
      <c r="F24" s="55">
        <f t="shared" si="3"/>
        <v>20994729.272328351</v>
      </c>
      <c r="G24" s="54">
        <f t="shared" si="4"/>
        <v>-36664875.454232953</v>
      </c>
      <c r="H24" s="63">
        <f t="shared" si="5"/>
        <v>12</v>
      </c>
      <c r="I24" s="55">
        <f t="shared" si="1"/>
        <v>-3964547.9414748605</v>
      </c>
      <c r="J24" s="54">
        <f t="shared" si="13"/>
        <v>15391450.943476243</v>
      </c>
      <c r="K24" s="63">
        <f t="shared" si="14"/>
        <v>12</v>
      </c>
      <c r="L24" s="55">
        <f t="shared" si="6"/>
        <v>1664267.0784587455</v>
      </c>
      <c r="M24" s="54">
        <f t="shared" si="26"/>
        <v>20029556.365810156</v>
      </c>
      <c r="N24" s="63">
        <f t="shared" si="15"/>
        <v>12</v>
      </c>
      <c r="O24" s="55">
        <f t="shared" si="16"/>
        <v>2056351.7981672927</v>
      </c>
      <c r="P24" s="54">
        <f t="shared" si="27"/>
        <v>6338331.4193278952</v>
      </c>
      <c r="Q24" s="63">
        <f t="shared" si="17"/>
        <v>12</v>
      </c>
      <c r="R24" s="55">
        <f t="shared" si="7"/>
        <v>650730.29943706258</v>
      </c>
      <c r="S24" s="54">
        <f t="shared" si="28"/>
        <v>6590171.7453000443</v>
      </c>
      <c r="T24" s="63">
        <f t="shared" si="18"/>
        <v>12</v>
      </c>
      <c r="U24" s="55">
        <f t="shared" si="19"/>
        <v>676585.70520370535</v>
      </c>
      <c r="V24" s="54">
        <f t="shared" si="29"/>
        <v>13976290.510575118</v>
      </c>
      <c r="W24" s="63">
        <f t="shared" si="20"/>
        <v>12</v>
      </c>
      <c r="X24" s="55">
        <f t="shared" si="21"/>
        <v>1434888.0024216715</v>
      </c>
      <c r="Y24" s="54">
        <f t="shared" si="30"/>
        <v>31442493.005007256</v>
      </c>
      <c r="Z24" s="63">
        <f t="shared" si="22"/>
        <v>12</v>
      </c>
      <c r="AA24" s="55">
        <f t="shared" si="23"/>
        <v>3228070.8493412482</v>
      </c>
      <c r="AB24" s="56">
        <f t="shared" si="8"/>
        <v>211631507.50365606</v>
      </c>
      <c r="AC24" s="63">
        <f t="shared" si="24"/>
        <v>12</v>
      </c>
      <c r="AD24" s="297">
        <f t="shared" si="9"/>
        <v>26741075.063883211</v>
      </c>
      <c r="AE24" s="111"/>
      <c r="AF24" s="54">
        <f t="shared" si="32"/>
        <v>197960625.12524697</v>
      </c>
      <c r="AG24" s="63">
        <f t="shared" si="25"/>
        <v>12</v>
      </c>
      <c r="AH24" s="55">
        <f t="shared" si="31"/>
        <v>24094588.726956178</v>
      </c>
      <c r="AP24" s="216">
        <v>500000</v>
      </c>
    </row>
    <row r="25" spans="1:42" x14ac:dyDescent="0.25">
      <c r="A25" s="49">
        <f t="shared" si="10"/>
        <v>10</v>
      </c>
      <c r="B25" s="49">
        <f t="shared" si="2"/>
        <v>2024</v>
      </c>
      <c r="C25" s="49">
        <f t="shared" si="0"/>
        <v>2027</v>
      </c>
      <c r="D25" s="54">
        <f t="shared" si="11"/>
        <v>144349897.02679023</v>
      </c>
      <c r="E25" s="63">
        <f t="shared" si="12"/>
        <v>8</v>
      </c>
      <c r="F25" s="55">
        <f t="shared" si="3"/>
        <v>21624571.150498204</v>
      </c>
      <c r="G25" s="54">
        <f t="shared" si="4"/>
        <v>-35304210.319257945</v>
      </c>
      <c r="H25" s="63">
        <f t="shared" si="5"/>
        <v>11</v>
      </c>
      <c r="I25" s="55">
        <f t="shared" si="1"/>
        <v>-4083484.379719106</v>
      </c>
      <c r="J25" s="54">
        <f t="shared" si="13"/>
        <v>14820260.930800268</v>
      </c>
      <c r="K25" s="63">
        <f t="shared" si="14"/>
        <v>11</v>
      </c>
      <c r="L25" s="55">
        <f t="shared" si="6"/>
        <v>1714195.0908125076</v>
      </c>
      <c r="M25" s="54">
        <f t="shared" si="26"/>
        <v>19209346.385081299</v>
      </c>
      <c r="N25" s="63">
        <f t="shared" si="15"/>
        <v>11</v>
      </c>
      <c r="O25" s="55">
        <f t="shared" si="16"/>
        <v>2118042.3521123114</v>
      </c>
      <c r="P25" s="54">
        <f t="shared" si="27"/>
        <v>6078776.8592391759</v>
      </c>
      <c r="Q25" s="63">
        <f t="shared" si="17"/>
        <v>11</v>
      </c>
      <c r="R25" s="55">
        <f t="shared" si="7"/>
        <v>670252.2084201742</v>
      </c>
      <c r="S25" s="54">
        <f t="shared" si="28"/>
        <v>6320304.3282942865</v>
      </c>
      <c r="T25" s="63">
        <f t="shared" si="18"/>
        <v>11</v>
      </c>
      <c r="U25" s="55">
        <f t="shared" si="19"/>
        <v>696883.27635981643</v>
      </c>
      <c r="V25" s="54">
        <f t="shared" si="29"/>
        <v>13403961.660101546</v>
      </c>
      <c r="W25" s="63">
        <f t="shared" si="20"/>
        <v>11</v>
      </c>
      <c r="X25" s="55">
        <f t="shared" si="21"/>
        <v>1477934.6424943216</v>
      </c>
      <c r="Y25" s="54">
        <f t="shared" si="30"/>
        <v>30154923.469731573</v>
      </c>
      <c r="Z25" s="63">
        <f t="shared" si="22"/>
        <v>11</v>
      </c>
      <c r="AA25" s="55">
        <f t="shared" si="23"/>
        <v>3324912.9748214846</v>
      </c>
      <c r="AB25" s="56">
        <f t="shared" si="8"/>
        <v>199033260.34078044</v>
      </c>
      <c r="AC25" s="63">
        <f t="shared" si="24"/>
        <v>11</v>
      </c>
      <c r="AD25" s="297">
        <f t="shared" si="9"/>
        <v>27543307.315799717</v>
      </c>
      <c r="AE25" s="111"/>
      <c r="AF25" s="54">
        <f t="shared" si="32"/>
        <v>186894232.50535464</v>
      </c>
      <c r="AG25" s="63">
        <f t="shared" si="25"/>
        <v>11</v>
      </c>
      <c r="AH25" s="55">
        <f t="shared" si="31"/>
        <v>24094588.726956174</v>
      </c>
      <c r="AP25" s="216">
        <v>500000</v>
      </c>
    </row>
    <row r="26" spans="1:42" x14ac:dyDescent="0.25">
      <c r="A26" s="49">
        <f t="shared" si="10"/>
        <v>11</v>
      </c>
      <c r="B26" s="49">
        <f t="shared" si="2"/>
        <v>2025</v>
      </c>
      <c r="C26" s="49">
        <f t="shared" si="0"/>
        <v>2028</v>
      </c>
      <c r="D26" s="54">
        <f t="shared" si="11"/>
        <v>132755306.73114106</v>
      </c>
      <c r="E26" s="63">
        <f t="shared" si="12"/>
        <v>7</v>
      </c>
      <c r="F26" s="55">
        <f t="shared" si="3"/>
        <v>22273308.28501315</v>
      </c>
      <c r="G26" s="54">
        <f t="shared" si="4"/>
        <v>-33718179.375338532</v>
      </c>
      <c r="H26" s="63">
        <f t="shared" si="5"/>
        <v>10</v>
      </c>
      <c r="I26" s="55">
        <f t="shared" si="1"/>
        <v>-4205988.9111106796</v>
      </c>
      <c r="J26" s="54">
        <f t="shared" si="13"/>
        <v>14154465.202170495</v>
      </c>
      <c r="K26" s="63">
        <f t="shared" si="14"/>
        <v>10</v>
      </c>
      <c r="L26" s="55">
        <f t="shared" si="6"/>
        <v>1765620.943536883</v>
      </c>
      <c r="M26" s="54">
        <f t="shared" si="26"/>
        <v>18272158.82126987</v>
      </c>
      <c r="N26" s="63">
        <f t="shared" si="15"/>
        <v>10</v>
      </c>
      <c r="O26" s="55">
        <f t="shared" si="16"/>
        <v>2181583.6226756806</v>
      </c>
      <c r="P26" s="54">
        <f t="shared" si="27"/>
        <v>5782204.8696743399</v>
      </c>
      <c r="Q26" s="63">
        <f t="shared" si="17"/>
        <v>10</v>
      </c>
      <c r="R26" s="55">
        <f t="shared" si="7"/>
        <v>690359.77467277949</v>
      </c>
      <c r="S26" s="54">
        <f t="shared" si="28"/>
        <v>6011948.6717696469</v>
      </c>
      <c r="T26" s="63">
        <f t="shared" si="18"/>
        <v>10</v>
      </c>
      <c r="U26" s="55">
        <f t="shared" si="19"/>
        <v>717789.77465061087</v>
      </c>
      <c r="V26" s="54">
        <f t="shared" si="29"/>
        <v>12750007.802337363</v>
      </c>
      <c r="W26" s="63">
        <f t="shared" si="20"/>
        <v>10</v>
      </c>
      <c r="X26" s="55">
        <f t="shared" si="21"/>
        <v>1522272.6817691512</v>
      </c>
      <c r="Y26" s="54">
        <f t="shared" si="30"/>
        <v>28683721.967244938</v>
      </c>
      <c r="Z26" s="63">
        <f t="shared" si="22"/>
        <v>10</v>
      </c>
      <c r="AA26" s="55">
        <f t="shared" si="23"/>
        <v>3424660.3640661291</v>
      </c>
      <c r="AB26" s="56">
        <f t="shared" si="8"/>
        <v>184691634.69026917</v>
      </c>
      <c r="AC26" s="63">
        <f t="shared" si="24"/>
        <v>10</v>
      </c>
      <c r="AD26" s="297">
        <f t="shared" si="9"/>
        <v>28369606.535273701</v>
      </c>
      <c r="AE26" s="111"/>
      <c r="AF26" s="54">
        <f t="shared" si="32"/>
        <v>175053192.40206987</v>
      </c>
      <c r="AG26" s="63">
        <f t="shared" si="25"/>
        <v>10</v>
      </c>
      <c r="AH26" s="55">
        <f t="shared" si="31"/>
        <v>24094588.726956174</v>
      </c>
      <c r="AP26" s="216">
        <v>500000</v>
      </c>
    </row>
    <row r="27" spans="1:42" x14ac:dyDescent="0.25">
      <c r="A27" s="49">
        <f t="shared" si="10"/>
        <v>12</v>
      </c>
      <c r="B27" s="49">
        <f t="shared" si="2"/>
        <v>2026</v>
      </c>
      <c r="C27" s="49">
        <f t="shared" si="0"/>
        <v>2029</v>
      </c>
      <c r="D27" s="54">
        <f t="shared" si="11"/>
        <v>119618497.18613845</v>
      </c>
      <c r="E27" s="63">
        <f t="shared" si="12"/>
        <v>6</v>
      </c>
      <c r="F27" s="55">
        <f t="shared" si="3"/>
        <v>22941507.533563547</v>
      </c>
      <c r="G27" s="54">
        <f t="shared" si="4"/>
        <v>-31886180.709089257</v>
      </c>
      <c r="H27" s="63">
        <f t="shared" si="5"/>
        <v>9</v>
      </c>
      <c r="I27" s="55">
        <f t="shared" si="1"/>
        <v>-4332168.5784439994</v>
      </c>
      <c r="J27" s="54">
        <f t="shared" si="13"/>
        <v>13385415.334940296</v>
      </c>
      <c r="K27" s="63">
        <f t="shared" si="14"/>
        <v>9</v>
      </c>
      <c r="L27" s="55">
        <f t="shared" si="6"/>
        <v>1818589.571842989</v>
      </c>
      <c r="M27" s="54">
        <f t="shared" si="26"/>
        <v>17208480.213445447</v>
      </c>
      <c r="N27" s="63">
        <f t="shared" si="15"/>
        <v>9</v>
      </c>
      <c r="O27" s="55">
        <f t="shared" si="16"/>
        <v>2247031.1313559511</v>
      </c>
      <c r="P27" s="54">
        <f t="shared" si="27"/>
        <v>5445604.9262253279</v>
      </c>
      <c r="Q27" s="63">
        <f t="shared" si="17"/>
        <v>9</v>
      </c>
      <c r="R27" s="55">
        <f t="shared" si="7"/>
        <v>711070.56791296287</v>
      </c>
      <c r="S27" s="54">
        <f t="shared" si="28"/>
        <v>5661974.6344349924</v>
      </c>
      <c r="T27" s="63">
        <f t="shared" si="18"/>
        <v>9</v>
      </c>
      <c r="U27" s="55">
        <f t="shared" si="19"/>
        <v>739323.46789012919</v>
      </c>
      <c r="V27" s="54">
        <f t="shared" si="29"/>
        <v>12007790.602848386</v>
      </c>
      <c r="W27" s="63">
        <f t="shared" si="20"/>
        <v>9</v>
      </c>
      <c r="X27" s="55">
        <f t="shared" si="21"/>
        <v>1567940.8622222256</v>
      </c>
      <c r="Y27" s="54">
        <f t="shared" si="30"/>
        <v>27013954.221256096</v>
      </c>
      <c r="Z27" s="63">
        <f t="shared" si="22"/>
        <v>9</v>
      </c>
      <c r="AA27" s="55">
        <f t="shared" si="23"/>
        <v>3527400.1749881133</v>
      </c>
      <c r="AB27" s="56">
        <f t="shared" si="8"/>
        <v>168455536.41019976</v>
      </c>
      <c r="AC27" s="63">
        <f t="shared" si="24"/>
        <v>9</v>
      </c>
      <c r="AD27" s="297">
        <f t="shared" si="9"/>
        <v>29220694.731331915</v>
      </c>
      <c r="AE27" s="111"/>
      <c r="AF27" s="54">
        <f t="shared" si="32"/>
        <v>162383279.49155515</v>
      </c>
      <c r="AG27" s="63">
        <f t="shared" si="25"/>
        <v>9</v>
      </c>
      <c r="AH27" s="55">
        <f t="shared" si="31"/>
        <v>24094588.726956174</v>
      </c>
      <c r="AP27" s="216">
        <v>500000</v>
      </c>
    </row>
    <row r="28" spans="1:42" s="50" customFormat="1" x14ac:dyDescent="0.25">
      <c r="A28" s="49">
        <f t="shared" si="10"/>
        <v>13</v>
      </c>
      <c r="B28" s="49">
        <f t="shared" si="2"/>
        <v>2027</v>
      </c>
      <c r="C28" s="49">
        <f t="shared" si="0"/>
        <v>2030</v>
      </c>
      <c r="D28" s="54">
        <f t="shared" si="11"/>
        <v>104803623.1987655</v>
      </c>
      <c r="E28" s="63">
        <f t="shared" si="12"/>
        <v>5</v>
      </c>
      <c r="F28" s="55">
        <f t="shared" si="3"/>
        <v>23629752.759570461</v>
      </c>
      <c r="G28" s="54">
        <f t="shared" si="4"/>
        <v>-29785956.279289294</v>
      </c>
      <c r="H28" s="63">
        <f t="shared" si="5"/>
        <v>8</v>
      </c>
      <c r="I28" s="55">
        <f t="shared" si="1"/>
        <v>-4462133.635797319</v>
      </c>
      <c r="J28" s="54">
        <f t="shared" si="13"/>
        <v>12503767.684946042</v>
      </c>
      <c r="K28" s="63">
        <f t="shared" si="14"/>
        <v>8</v>
      </c>
      <c r="L28" s="55">
        <f t="shared" si="6"/>
        <v>1873147.258998279</v>
      </c>
      <c r="M28" s="54">
        <f t="shared" si="26"/>
        <v>16008121.428176228</v>
      </c>
      <c r="N28" s="63">
        <f t="shared" si="15"/>
        <v>8</v>
      </c>
      <c r="O28" s="55">
        <f t="shared" si="16"/>
        <v>2314442.065296629</v>
      </c>
      <c r="P28" s="54">
        <f t="shared" si="27"/>
        <v>5065752.6886527948</v>
      </c>
      <c r="Q28" s="63">
        <f t="shared" si="17"/>
        <v>8</v>
      </c>
      <c r="R28" s="55">
        <f t="shared" si="7"/>
        <v>732402.6849503516</v>
      </c>
      <c r="S28" s="54">
        <f t="shared" si="28"/>
        <v>5267029.7636435954</v>
      </c>
      <c r="T28" s="63">
        <f t="shared" si="18"/>
        <v>8</v>
      </c>
      <c r="U28" s="55">
        <f t="shared" si="19"/>
        <v>761503.17192683287</v>
      </c>
      <c r="V28" s="54">
        <f t="shared" si="29"/>
        <v>11170200.254193397</v>
      </c>
      <c r="W28" s="63">
        <f t="shared" si="20"/>
        <v>8</v>
      </c>
      <c r="X28" s="55">
        <f t="shared" si="21"/>
        <v>1614979.0880888924</v>
      </c>
      <c r="Y28" s="54">
        <f t="shared" si="30"/>
        <v>25129625.281562187</v>
      </c>
      <c r="Z28" s="63">
        <f t="shared" si="22"/>
        <v>8</v>
      </c>
      <c r="AA28" s="55">
        <f t="shared" si="23"/>
        <v>3633222.1802377556</v>
      </c>
      <c r="AB28" s="56">
        <f t="shared" si="8"/>
        <v>150162164.02065045</v>
      </c>
      <c r="AC28" s="63">
        <f t="shared" si="24"/>
        <v>8</v>
      </c>
      <c r="AD28" s="297">
        <f t="shared" si="9"/>
        <v>30097315.573271882</v>
      </c>
      <c r="AE28" s="111"/>
      <c r="AF28" s="54">
        <f t="shared" si="32"/>
        <v>148826472.67730442</v>
      </c>
      <c r="AG28" s="63">
        <f t="shared" si="25"/>
        <v>8</v>
      </c>
      <c r="AH28" s="55">
        <f t="shared" si="31"/>
        <v>24094588.726956174</v>
      </c>
      <c r="AP28" s="216">
        <v>500000</v>
      </c>
    </row>
    <row r="29" spans="1:42" s="50" customFormat="1" x14ac:dyDescent="0.25">
      <c r="A29" s="49">
        <f t="shared" si="10"/>
        <v>14</v>
      </c>
      <c r="B29" s="49">
        <f t="shared" si="2"/>
        <v>2028</v>
      </c>
      <c r="C29" s="49">
        <f t="shared" si="0"/>
        <v>2031</v>
      </c>
      <c r="D29" s="54">
        <f t="shared" si="11"/>
        <v>88164045.824049577</v>
      </c>
      <c r="E29" s="63">
        <f t="shared" si="12"/>
        <v>4</v>
      </c>
      <c r="F29" s="55">
        <f t="shared" si="3"/>
        <v>24338645.342357572</v>
      </c>
      <c r="G29" s="54">
        <f t="shared" si="4"/>
        <v>-27393464.377764884</v>
      </c>
      <c r="H29" s="63">
        <f t="shared" si="5"/>
        <v>7</v>
      </c>
      <c r="I29" s="55">
        <f t="shared" si="1"/>
        <v>-4595997.6448712386</v>
      </c>
      <c r="J29" s="54">
        <f t="shared" si="13"/>
        <v>11499429.847198775</v>
      </c>
      <c r="K29" s="63">
        <f t="shared" si="14"/>
        <v>7</v>
      </c>
      <c r="L29" s="55">
        <f t="shared" si="6"/>
        <v>1929341.6767682272</v>
      </c>
      <c r="M29" s="54">
        <f t="shared" si="26"/>
        <v>14660172.021890214</v>
      </c>
      <c r="N29" s="63">
        <f t="shared" si="15"/>
        <v>7</v>
      </c>
      <c r="O29" s="55">
        <f t="shared" si="16"/>
        <v>2383875.3272555275</v>
      </c>
      <c r="P29" s="54">
        <f t="shared" si="27"/>
        <v>4639195.5589047326</v>
      </c>
      <c r="Q29" s="63">
        <f t="shared" si="17"/>
        <v>7</v>
      </c>
      <c r="R29" s="55">
        <f t="shared" si="7"/>
        <v>754374.76549886202</v>
      </c>
      <c r="S29" s="54">
        <f t="shared" si="28"/>
        <v>4823524.2795898672</v>
      </c>
      <c r="T29" s="63">
        <f t="shared" si="18"/>
        <v>7</v>
      </c>
      <c r="U29" s="55">
        <f t="shared" si="19"/>
        <v>784348.26708463766</v>
      </c>
      <c r="V29" s="54">
        <f t="shared" si="29"/>
        <v>10229623.630740631</v>
      </c>
      <c r="W29" s="63">
        <f t="shared" si="20"/>
        <v>7</v>
      </c>
      <c r="X29" s="55">
        <f t="shared" si="21"/>
        <v>1663428.4607315587</v>
      </c>
      <c r="Y29" s="54">
        <f t="shared" si="30"/>
        <v>23013607.881865907</v>
      </c>
      <c r="Z29" s="63">
        <f t="shared" si="22"/>
        <v>7</v>
      </c>
      <c r="AA29" s="55">
        <f t="shared" si="23"/>
        <v>3742218.845644888</v>
      </c>
      <c r="AB29" s="56">
        <f t="shared" si="8"/>
        <v>129636134.6664748</v>
      </c>
      <c r="AC29" s="63">
        <f t="shared" si="24"/>
        <v>7</v>
      </c>
      <c r="AD29" s="297">
        <f t="shared" si="9"/>
        <v>31000235.040470038</v>
      </c>
      <c r="AE29" s="111"/>
      <c r="AF29" s="54">
        <f t="shared" si="32"/>
        <v>134320689.38605613</v>
      </c>
      <c r="AG29" s="63">
        <f t="shared" si="25"/>
        <v>7</v>
      </c>
      <c r="AH29" s="55">
        <f t="shared" si="31"/>
        <v>24094588.72695617</v>
      </c>
      <c r="AP29" s="216">
        <v>500000</v>
      </c>
    </row>
    <row r="30" spans="1:42" s="50" customFormat="1" x14ac:dyDescent="0.25">
      <c r="A30" s="49">
        <f t="shared" si="10"/>
        <v>15</v>
      </c>
      <c r="B30" s="49">
        <f t="shared" si="2"/>
        <v>2029</v>
      </c>
      <c r="C30" s="49">
        <f t="shared" si="0"/>
        <v>2032</v>
      </c>
      <c r="D30" s="54">
        <f t="shared" si="11"/>
        <v>69541504.672791258</v>
      </c>
      <c r="E30" s="63">
        <f t="shared" si="12"/>
        <v>3</v>
      </c>
      <c r="F30" s="55">
        <f t="shared" si="3"/>
        <v>25068804.702628292</v>
      </c>
      <c r="G30" s="54">
        <f t="shared" si="4"/>
        <v>-24682742.424952012</v>
      </c>
      <c r="H30" s="63">
        <f t="shared" si="5"/>
        <v>6</v>
      </c>
      <c r="I30" s="55">
        <f t="shared" si="1"/>
        <v>-4733877.5742173763</v>
      </c>
      <c r="J30" s="54">
        <f t="shared" si="13"/>
        <v>10361503.059196917</v>
      </c>
      <c r="K30" s="63">
        <f t="shared" si="14"/>
        <v>6</v>
      </c>
      <c r="L30" s="55">
        <f t="shared" si="6"/>
        <v>1987221.9270712738</v>
      </c>
      <c r="M30" s="54">
        <f t="shared" si="26"/>
        <v>13152951.585222086</v>
      </c>
      <c r="N30" s="63">
        <f t="shared" si="15"/>
        <v>6</v>
      </c>
      <c r="O30" s="55">
        <f t="shared" si="16"/>
        <v>2455391.5870731929</v>
      </c>
      <c r="P30" s="54">
        <f t="shared" si="27"/>
        <v>4162237.284087731</v>
      </c>
      <c r="Q30" s="63">
        <f t="shared" si="17"/>
        <v>6</v>
      </c>
      <c r="R30" s="55">
        <f t="shared" si="7"/>
        <v>777006.00846382789</v>
      </c>
      <c r="S30" s="54">
        <f t="shared" si="28"/>
        <v>4327615.0665119309</v>
      </c>
      <c r="T30" s="63">
        <f t="shared" si="18"/>
        <v>6</v>
      </c>
      <c r="U30" s="55">
        <f t="shared" si="19"/>
        <v>807878.71509717649</v>
      </c>
      <c r="V30" s="54">
        <f t="shared" si="29"/>
        <v>9177910.3375641778</v>
      </c>
      <c r="W30" s="63">
        <f t="shared" si="20"/>
        <v>6</v>
      </c>
      <c r="X30" s="55">
        <f t="shared" si="21"/>
        <v>1713331.3145535053</v>
      </c>
      <c r="Y30" s="54">
        <f t="shared" si="30"/>
        <v>20647566.059899434</v>
      </c>
      <c r="Z30" s="63">
        <f t="shared" si="22"/>
        <v>6</v>
      </c>
      <c r="AA30" s="55">
        <f t="shared" si="23"/>
        <v>3854485.4110142333</v>
      </c>
      <c r="AB30" s="56">
        <f t="shared" si="8"/>
        <v>106688545.64032151</v>
      </c>
      <c r="AC30" s="63">
        <f t="shared" si="24"/>
        <v>6</v>
      </c>
      <c r="AD30" s="297">
        <f t="shared" si="9"/>
        <v>31930242.091684125</v>
      </c>
      <c r="AE30" s="111"/>
      <c r="AF30" s="54">
        <f t="shared" si="32"/>
        <v>118799501.26442045</v>
      </c>
      <c r="AG30" s="63">
        <f t="shared" si="25"/>
        <v>6</v>
      </c>
      <c r="AH30" s="55">
        <f t="shared" si="31"/>
        <v>24094588.72695617</v>
      </c>
      <c r="AP30" s="216">
        <v>500000</v>
      </c>
    </row>
    <row r="31" spans="1:42" s="50" customFormat="1" x14ac:dyDescent="0.25">
      <c r="A31" s="49">
        <f t="shared" si="10"/>
        <v>16</v>
      </c>
      <c r="B31" s="49">
        <f t="shared" si="2"/>
        <v>2030</v>
      </c>
      <c r="C31" s="49">
        <f t="shared" si="0"/>
        <v>2033</v>
      </c>
      <c r="D31" s="54">
        <f t="shared" si="11"/>
        <v>48765227.597546712</v>
      </c>
      <c r="E31" s="63">
        <f t="shared" si="12"/>
        <v>2</v>
      </c>
      <c r="F31" s="55">
        <f t="shared" si="3"/>
        <v>25820868.843707148</v>
      </c>
      <c r="G31" s="54">
        <f t="shared" si="4"/>
        <v>-21625759.372243814</v>
      </c>
      <c r="H31" s="63">
        <f t="shared" si="5"/>
        <v>5</v>
      </c>
      <c r="I31" s="55">
        <f t="shared" si="1"/>
        <v>-4875893.9014438987</v>
      </c>
      <c r="J31" s="54">
        <f t="shared" si="13"/>
        <v>9078220.2412986681</v>
      </c>
      <c r="K31" s="63">
        <f t="shared" si="14"/>
        <v>5</v>
      </c>
      <c r="L31" s="55">
        <f t="shared" si="6"/>
        <v>2046838.5848834128</v>
      </c>
      <c r="M31" s="54">
        <f t="shared" si="26"/>
        <v>11473957.8716278</v>
      </c>
      <c r="N31" s="63">
        <f t="shared" si="15"/>
        <v>5</v>
      </c>
      <c r="O31" s="55">
        <f t="shared" si="16"/>
        <v>2529053.3346853885</v>
      </c>
      <c r="P31" s="54">
        <f t="shared" si="27"/>
        <v>3630921.5418232502</v>
      </c>
      <c r="Q31" s="63">
        <f t="shared" si="17"/>
        <v>5</v>
      </c>
      <c r="R31" s="55">
        <f t="shared" si="7"/>
        <v>800316.18871774268</v>
      </c>
      <c r="S31" s="54">
        <f t="shared" si="28"/>
        <v>3775188.6058463906</v>
      </c>
      <c r="T31" s="63">
        <f t="shared" si="18"/>
        <v>5</v>
      </c>
      <c r="U31" s="55">
        <f t="shared" si="19"/>
        <v>832115.07655009208</v>
      </c>
      <c r="V31" s="54">
        <f t="shared" si="29"/>
        <v>8006336.5154560152</v>
      </c>
      <c r="W31" s="63">
        <f t="shared" si="20"/>
        <v>5</v>
      </c>
      <c r="X31" s="55">
        <f t="shared" si="21"/>
        <v>1764731.2539901107</v>
      </c>
      <c r="Y31" s="54">
        <f t="shared" si="30"/>
        <v>18011873.729476515</v>
      </c>
      <c r="Z31" s="63">
        <f t="shared" si="22"/>
        <v>5</v>
      </c>
      <c r="AA31" s="55">
        <f t="shared" si="23"/>
        <v>3970119.9733446618</v>
      </c>
      <c r="AB31" s="56">
        <f>D31+G31+J31+M31+P31+S31+V31+Y31</f>
        <v>81115966.730831534</v>
      </c>
      <c r="AC31" s="63">
        <f t="shared" si="24"/>
        <v>5</v>
      </c>
      <c r="AD31" s="297">
        <f t="shared" si="9"/>
        <v>32888149.354434658</v>
      </c>
      <c r="AE31" s="111"/>
      <c r="AF31" s="54">
        <f t="shared" si="32"/>
        <v>102191829.97427028</v>
      </c>
      <c r="AG31" s="63">
        <f t="shared" si="25"/>
        <v>5</v>
      </c>
      <c r="AH31" s="55">
        <f t="shared" si="31"/>
        <v>24094588.72695617</v>
      </c>
      <c r="AP31" s="216">
        <v>500000</v>
      </c>
    </row>
    <row r="32" spans="1:42" s="50" customFormat="1" x14ac:dyDescent="0.25">
      <c r="A32" s="49">
        <f t="shared" si="10"/>
        <v>17</v>
      </c>
      <c r="B32" s="49">
        <f t="shared" si="2"/>
        <v>2031</v>
      </c>
      <c r="C32" s="49">
        <f t="shared" si="0"/>
        <v>2034</v>
      </c>
      <c r="D32" s="54">
        <f t="shared" si="11"/>
        <v>25650973.043887701</v>
      </c>
      <c r="E32" s="63">
        <f t="shared" si="12"/>
        <v>1</v>
      </c>
      <c r="F32" s="55">
        <f t="shared" si="3"/>
        <v>26595494.909018368</v>
      </c>
      <c r="G32" s="54">
        <f t="shared" si="4"/>
        <v>-18192256.928545114</v>
      </c>
      <c r="H32" s="63">
        <f t="shared" si="5"/>
        <v>4</v>
      </c>
      <c r="I32" s="55">
        <f t="shared" si="1"/>
        <v>-5022170.7184872152</v>
      </c>
      <c r="J32" s="54">
        <f t="shared" si="13"/>
        <v>7636879.3456379073</v>
      </c>
      <c r="K32" s="63">
        <f t="shared" si="14"/>
        <v>4</v>
      </c>
      <c r="L32" s="55">
        <f t="shared" si="6"/>
        <v>2108243.7424299149</v>
      </c>
      <c r="M32" s="54">
        <f t="shared" si="26"/>
        <v>9609811.4996508751</v>
      </c>
      <c r="N32" s="63">
        <f t="shared" si="15"/>
        <v>4</v>
      </c>
      <c r="O32" s="55">
        <f t="shared" si="16"/>
        <v>2604924.9347259495</v>
      </c>
      <c r="P32" s="54">
        <f t="shared" si="27"/>
        <v>3041014.4413396725</v>
      </c>
      <c r="Q32" s="63">
        <f t="shared" si="17"/>
        <v>4</v>
      </c>
      <c r="R32" s="55">
        <f t="shared" si="7"/>
        <v>824325.67437927471</v>
      </c>
      <c r="S32" s="54">
        <f t="shared" si="28"/>
        <v>3161842.7820379254</v>
      </c>
      <c r="T32" s="63">
        <f t="shared" si="18"/>
        <v>4</v>
      </c>
      <c r="U32" s="55">
        <f t="shared" si="19"/>
        <v>857078.52884659451</v>
      </c>
      <c r="V32" s="54">
        <f t="shared" si="29"/>
        <v>6705566.2550893268</v>
      </c>
      <c r="W32" s="63">
        <f t="shared" si="20"/>
        <v>4</v>
      </c>
      <c r="X32" s="55">
        <f t="shared" si="21"/>
        <v>1817673.1916098136</v>
      </c>
      <c r="Y32" s="54">
        <f t="shared" si="30"/>
        <v>15085527.873846611</v>
      </c>
      <c r="Z32" s="63">
        <f t="shared" si="22"/>
        <v>4</v>
      </c>
      <c r="AA32" s="55">
        <f t="shared" si="23"/>
        <v>4089223.5725450004</v>
      </c>
      <c r="AB32" s="56">
        <f t="shared" si="8"/>
        <v>52699358.312944904</v>
      </c>
      <c r="AC32" s="63">
        <f t="shared" si="24"/>
        <v>4</v>
      </c>
      <c r="AD32" s="297">
        <f>F32+I32+L32+O32+R32+U32+X32+AA32</f>
        <v>33874793.835067704</v>
      </c>
      <c r="AE32" s="111"/>
      <c r="AF32" s="54">
        <f t="shared" si="32"/>
        <v>84421621.693809599</v>
      </c>
      <c r="AG32" s="63">
        <f t="shared" si="25"/>
        <v>4</v>
      </c>
      <c r="AH32" s="55">
        <f t="shared" si="31"/>
        <v>24094588.72695617</v>
      </c>
      <c r="AP32" s="216">
        <v>500000</v>
      </c>
    </row>
    <row r="33" spans="1:42" s="50" customFormat="1" x14ac:dyDescent="0.25">
      <c r="A33" s="49">
        <f t="shared" si="10"/>
        <v>18</v>
      </c>
      <c r="B33" s="49">
        <f t="shared" si="2"/>
        <v>2032</v>
      </c>
      <c r="C33" s="49">
        <f t="shared" si="0"/>
        <v>2035</v>
      </c>
      <c r="D33" s="54"/>
      <c r="E33" s="63"/>
      <c r="F33" s="55"/>
      <c r="G33" s="54">
        <f t="shared" ref="G33:G35" si="33">G32*1.075-I32*1.075^0.5</f>
        <v>-14349578.769670501</v>
      </c>
      <c r="H33" s="63">
        <f t="shared" si="5"/>
        <v>3</v>
      </c>
      <c r="I33" s="55">
        <f t="shared" ref="I33:I35" si="34">-PMT(1.075/1.03-1,H33,G33*1.075^0.5,0,1)</f>
        <v>-5172835.8400418302</v>
      </c>
      <c r="J33" s="54">
        <f t="shared" si="13"/>
        <v>6023771.6603898462</v>
      </c>
      <c r="K33" s="63">
        <f t="shared" si="14"/>
        <v>3</v>
      </c>
      <c r="L33" s="55">
        <f t="shared" si="6"/>
        <v>2171491.0547028123</v>
      </c>
      <c r="M33" s="54">
        <f t="shared" si="26"/>
        <v>7546197.0044864686</v>
      </c>
      <c r="N33" s="63">
        <f t="shared" si="15"/>
        <v>3</v>
      </c>
      <c r="O33" s="55">
        <f t="shared" si="16"/>
        <v>2683072.6827677274</v>
      </c>
      <c r="P33" s="54">
        <f t="shared" si="27"/>
        <v>2387985.8693036004</v>
      </c>
      <c r="Q33" s="63">
        <f t="shared" si="17"/>
        <v>3</v>
      </c>
      <c r="R33" s="55">
        <f t="shared" si="7"/>
        <v>849055.44461065298</v>
      </c>
      <c r="S33" s="54">
        <f t="shared" si="28"/>
        <v>2482867.4871862559</v>
      </c>
      <c r="T33" s="63">
        <f t="shared" si="18"/>
        <v>3</v>
      </c>
      <c r="U33" s="55">
        <f t="shared" si="19"/>
        <v>882790.88471199223</v>
      </c>
      <c r="V33" s="54">
        <f t="shared" si="29"/>
        <v>5265610.4637826644</v>
      </c>
      <c r="W33" s="63">
        <f t="shared" si="20"/>
        <v>3</v>
      </c>
      <c r="X33" s="55">
        <f t="shared" si="21"/>
        <v>1872203.3873581078</v>
      </c>
      <c r="Y33" s="54">
        <f t="shared" si="30"/>
        <v>11846056.008159388</v>
      </c>
      <c r="Z33" s="63">
        <f t="shared" si="22"/>
        <v>3</v>
      </c>
      <c r="AA33" s="55">
        <f t="shared" si="23"/>
        <v>4211900.2797213495</v>
      </c>
      <c r="AB33" s="56">
        <f t="shared" si="8"/>
        <v>21202909.723637722</v>
      </c>
      <c r="AC33" s="63">
        <f t="shared" si="24"/>
        <v>3</v>
      </c>
      <c r="AD33" s="297">
        <f t="shared" si="9"/>
        <v>7497677.8938308116</v>
      </c>
      <c r="AE33" s="111"/>
      <c r="AF33" s="54">
        <f t="shared" si="32"/>
        <v>65407498.833716676</v>
      </c>
      <c r="AG33" s="63">
        <f t="shared" si="25"/>
        <v>3</v>
      </c>
      <c r="AH33" s="55">
        <f t="shared" si="31"/>
        <v>24094588.726956174</v>
      </c>
      <c r="AP33" s="216">
        <v>500000</v>
      </c>
    </row>
    <row r="34" spans="1:42" s="50" customFormat="1" x14ac:dyDescent="0.25">
      <c r="A34" s="49">
        <f t="shared" si="10"/>
        <v>19</v>
      </c>
      <c r="B34" s="49">
        <f t="shared" si="2"/>
        <v>2033</v>
      </c>
      <c r="C34" s="49">
        <f t="shared" si="0"/>
        <v>2036</v>
      </c>
      <c r="D34" s="54"/>
      <c r="E34" s="63"/>
      <c r="F34" s="55"/>
      <c r="G34" s="54">
        <f t="shared" si="33"/>
        <v>-10062486.826024832</v>
      </c>
      <c r="H34" s="63">
        <f t="shared" si="5"/>
        <v>2</v>
      </c>
      <c r="I34" s="55">
        <f t="shared" si="34"/>
        <v>-5328020.9152430864</v>
      </c>
      <c r="J34" s="54">
        <f t="shared" si="13"/>
        <v>4224104.6896630526</v>
      </c>
      <c r="K34" s="63">
        <f t="shared" si="14"/>
        <v>2</v>
      </c>
      <c r="L34" s="55">
        <f t="shared" si="6"/>
        <v>2236635.7863438968</v>
      </c>
      <c r="M34" s="54">
        <f t="shared" si="26"/>
        <v>5267799.9998571258</v>
      </c>
      <c r="N34" s="63">
        <f t="shared" si="15"/>
        <v>2</v>
      </c>
      <c r="O34" s="55">
        <f t="shared" si="16"/>
        <v>2763564.8632507599</v>
      </c>
      <c r="P34" s="54">
        <f t="shared" si="27"/>
        <v>1666989.6047634888</v>
      </c>
      <c r="Q34" s="63">
        <f t="shared" si="17"/>
        <v>2</v>
      </c>
      <c r="R34" s="55">
        <f t="shared" si="7"/>
        <v>874527.10794897226</v>
      </c>
      <c r="S34" s="54">
        <f t="shared" si="28"/>
        <v>1733223.9458987038</v>
      </c>
      <c r="T34" s="63">
        <f t="shared" si="18"/>
        <v>2</v>
      </c>
      <c r="U34" s="55">
        <f t="shared" si="19"/>
        <v>909274.61125335144</v>
      </c>
      <c r="V34" s="54">
        <f t="shared" si="29"/>
        <v>3675783.0181044452</v>
      </c>
      <c r="W34" s="63">
        <f t="shared" si="20"/>
        <v>2</v>
      </c>
      <c r="X34" s="55">
        <f t="shared" si="21"/>
        <v>1928369.4889788507</v>
      </c>
      <c r="Y34" s="54">
        <f t="shared" si="30"/>
        <v>8269417.5358778778</v>
      </c>
      <c r="Z34" s="63">
        <f t="shared" si="22"/>
        <v>2</v>
      </c>
      <c r="AA34" s="55">
        <f t="shared" si="23"/>
        <v>4338257.2881129887</v>
      </c>
      <c r="AB34" s="56">
        <f t="shared" si="8"/>
        <v>14774831.968139861</v>
      </c>
      <c r="AC34" s="63">
        <f t="shared" si="24"/>
        <v>2</v>
      </c>
      <c r="AD34" s="297">
        <f t="shared" si="9"/>
        <v>7722608.230645733</v>
      </c>
      <c r="AE34" s="111"/>
      <c r="AF34" s="54">
        <f t="shared" si="32"/>
        <v>45062387.373417236</v>
      </c>
      <c r="AG34" s="63">
        <f t="shared" si="25"/>
        <v>2</v>
      </c>
      <c r="AH34" s="55">
        <f t="shared" si="31"/>
        <v>24094588.726956178</v>
      </c>
      <c r="AP34" s="216">
        <v>500000</v>
      </c>
    </row>
    <row r="35" spans="1:42" s="50" customFormat="1" x14ac:dyDescent="0.25">
      <c r="A35" s="49">
        <f t="shared" si="10"/>
        <v>20</v>
      </c>
      <c r="B35" s="49">
        <f t="shared" si="2"/>
        <v>2034</v>
      </c>
      <c r="C35" s="49">
        <f t="shared" si="0"/>
        <v>2037</v>
      </c>
      <c r="D35" s="54"/>
      <c r="E35" s="63"/>
      <c r="F35" s="55"/>
      <c r="G35" s="54">
        <f t="shared" si="33"/>
        <v>-5292963.6760646068</v>
      </c>
      <c r="H35" s="63">
        <f t="shared" si="5"/>
        <v>1</v>
      </c>
      <c r="I35" s="55">
        <f t="shared" si="34"/>
        <v>-5487861.5427003801</v>
      </c>
      <c r="J35" s="54">
        <f t="shared" si="13"/>
        <v>2221919.2007740694</v>
      </c>
      <c r="K35" s="63">
        <f t="shared" si="14"/>
        <v>1</v>
      </c>
      <c r="L35" s="55">
        <f t="shared" si="6"/>
        <v>2303734.859934214</v>
      </c>
      <c r="M35" s="54">
        <f t="shared" si="26"/>
        <v>2758240.1956292456</v>
      </c>
      <c r="N35" s="63">
        <f t="shared" si="15"/>
        <v>1</v>
      </c>
      <c r="O35" s="55">
        <f t="shared" si="16"/>
        <v>2846471.8091482804</v>
      </c>
      <c r="P35" s="54">
        <f t="shared" si="27"/>
        <v>872842.12264692481</v>
      </c>
      <c r="Q35" s="63">
        <f t="shared" si="17"/>
        <v>1</v>
      </c>
      <c r="R35" s="55">
        <f t="shared" si="7"/>
        <v>900762.92118744063</v>
      </c>
      <c r="S35" s="54">
        <f t="shared" si="28"/>
        <v>907522.67658882192</v>
      </c>
      <c r="T35" s="63">
        <f t="shared" si="18"/>
        <v>1</v>
      </c>
      <c r="U35" s="55">
        <f t="shared" si="19"/>
        <v>936552.84959095146</v>
      </c>
      <c r="V35" s="54">
        <f t="shared" si="29"/>
        <v>1924654.0246824196</v>
      </c>
      <c r="W35" s="63">
        <f t="shared" si="20"/>
        <v>1</v>
      </c>
      <c r="X35" s="55">
        <f t="shared" si="21"/>
        <v>1986220.5736482153</v>
      </c>
      <c r="Y35" s="54">
        <f t="shared" si="30"/>
        <v>4329898.5995137142</v>
      </c>
      <c r="Z35" s="63">
        <f t="shared" si="22"/>
        <v>1</v>
      </c>
      <c r="AA35" s="55">
        <f t="shared" si="23"/>
        <v>4468405.0067563755</v>
      </c>
      <c r="AB35" s="56">
        <f t="shared" si="8"/>
        <v>7722113.1437705886</v>
      </c>
      <c r="AC35" s="63">
        <f t="shared" si="24"/>
        <v>1</v>
      </c>
      <c r="AD35" s="297">
        <f t="shared" si="9"/>
        <v>7954286.4775650967</v>
      </c>
      <c r="AE35" s="111"/>
      <c r="AF35" s="54">
        <f t="shared" si="32"/>
        <v>23293118.110896826</v>
      </c>
      <c r="AG35" s="63">
        <f t="shared" si="25"/>
        <v>1</v>
      </c>
      <c r="AH35" s="55">
        <f t="shared" si="31"/>
        <v>24094588.726956166</v>
      </c>
      <c r="AP35" s="216">
        <v>500000</v>
      </c>
    </row>
    <row r="36" spans="1:42" s="50" customFormat="1" x14ac:dyDescent="0.25">
      <c r="A36" s="49">
        <f t="shared" si="10"/>
        <v>21</v>
      </c>
      <c r="B36" s="49">
        <f t="shared" si="2"/>
        <v>2035</v>
      </c>
      <c r="C36" s="49">
        <f t="shared" si="0"/>
        <v>2038</v>
      </c>
      <c r="D36" s="54"/>
      <c r="E36" s="63"/>
      <c r="F36" s="55"/>
      <c r="G36" s="54"/>
      <c r="H36" s="63"/>
      <c r="I36" s="55"/>
      <c r="J36" s="54"/>
      <c r="K36" s="63"/>
      <c r="L36" s="55"/>
      <c r="M36" s="54"/>
      <c r="N36" s="63"/>
      <c r="O36" s="55"/>
      <c r="P36" s="54"/>
      <c r="Q36" s="63"/>
      <c r="R36" s="55"/>
      <c r="S36" s="54"/>
      <c r="T36" s="63"/>
      <c r="U36" s="55"/>
      <c r="V36" s="54"/>
      <c r="W36" s="63"/>
      <c r="X36" s="55"/>
      <c r="Y36" s="54"/>
      <c r="Z36" s="63"/>
      <c r="AA36" s="55"/>
      <c r="AB36" s="56">
        <f t="shared" ref="AB36:AB44" si="35">D36+G36+J36+M36+P36+S36+V36+Y36</f>
        <v>0</v>
      </c>
      <c r="AC36" s="63">
        <f t="shared" si="24"/>
        <v>0</v>
      </c>
      <c r="AD36" s="297">
        <f t="shared" ref="AD36:AD44" si="36">F36+I36+L36+O36+R36+U36+X36+AA36</f>
        <v>0</v>
      </c>
      <c r="AE36" s="111"/>
      <c r="AF36" s="54"/>
      <c r="AG36" s="430"/>
      <c r="AH36" s="431"/>
      <c r="AP36" s="216">
        <v>500000</v>
      </c>
    </row>
    <row r="37" spans="1:42" s="50" customFormat="1" x14ac:dyDescent="0.25">
      <c r="A37" s="49">
        <f t="shared" si="10"/>
        <v>22</v>
      </c>
      <c r="B37" s="49">
        <f t="shared" si="2"/>
        <v>2036</v>
      </c>
      <c r="C37" s="49">
        <f t="shared" si="0"/>
        <v>2039</v>
      </c>
      <c r="D37" s="54"/>
      <c r="E37" s="63"/>
      <c r="F37" s="55"/>
      <c r="G37" s="54"/>
      <c r="H37" s="63"/>
      <c r="I37" s="55"/>
      <c r="J37" s="54"/>
      <c r="K37" s="63"/>
      <c r="L37" s="55"/>
      <c r="M37" s="54"/>
      <c r="N37" s="63"/>
      <c r="O37" s="55"/>
      <c r="P37" s="54"/>
      <c r="Q37" s="63"/>
      <c r="R37" s="55"/>
      <c r="S37" s="54"/>
      <c r="T37" s="63"/>
      <c r="U37" s="55"/>
      <c r="V37" s="54"/>
      <c r="W37" s="63"/>
      <c r="X37" s="55"/>
      <c r="Y37" s="54"/>
      <c r="Z37" s="63"/>
      <c r="AA37" s="55"/>
      <c r="AB37" s="56">
        <f t="shared" si="35"/>
        <v>0</v>
      </c>
      <c r="AC37" s="63">
        <f t="shared" si="24"/>
        <v>-1</v>
      </c>
      <c r="AD37" s="297">
        <f t="shared" si="36"/>
        <v>0</v>
      </c>
      <c r="AE37" s="111"/>
      <c r="AF37" s="54"/>
      <c r="AG37" s="430"/>
      <c r="AH37" s="431"/>
      <c r="AP37" s="216">
        <v>500000</v>
      </c>
    </row>
    <row r="38" spans="1:42" s="50" customFormat="1" x14ac:dyDescent="0.25">
      <c r="A38" s="49">
        <f t="shared" si="10"/>
        <v>23</v>
      </c>
      <c r="B38" s="49">
        <f t="shared" si="2"/>
        <v>2037</v>
      </c>
      <c r="C38" s="49">
        <f t="shared" si="0"/>
        <v>2040</v>
      </c>
      <c r="D38" s="54"/>
      <c r="E38" s="63"/>
      <c r="F38" s="55"/>
      <c r="G38" s="54"/>
      <c r="H38" s="63"/>
      <c r="I38" s="55"/>
      <c r="J38" s="54"/>
      <c r="K38" s="63"/>
      <c r="L38" s="55"/>
      <c r="M38" s="54"/>
      <c r="N38" s="63"/>
      <c r="O38" s="55"/>
      <c r="P38" s="54"/>
      <c r="Q38" s="63"/>
      <c r="R38" s="55"/>
      <c r="S38" s="54"/>
      <c r="T38" s="63"/>
      <c r="U38" s="55"/>
      <c r="V38" s="54"/>
      <c r="W38" s="63"/>
      <c r="X38" s="55"/>
      <c r="Y38" s="54"/>
      <c r="Z38" s="63"/>
      <c r="AA38" s="55"/>
      <c r="AB38" s="56">
        <f t="shared" si="35"/>
        <v>0</v>
      </c>
      <c r="AC38" s="63">
        <f t="shared" si="24"/>
        <v>-2</v>
      </c>
      <c r="AD38" s="297">
        <f t="shared" si="36"/>
        <v>0</v>
      </c>
      <c r="AE38" s="111"/>
      <c r="AF38" s="54"/>
      <c r="AG38" s="430"/>
      <c r="AH38" s="431"/>
      <c r="AP38" s="216">
        <v>500000</v>
      </c>
    </row>
    <row r="39" spans="1:42" s="50" customFormat="1" x14ac:dyDescent="0.25">
      <c r="A39" s="49">
        <f t="shared" si="10"/>
        <v>24</v>
      </c>
      <c r="B39" s="49">
        <f t="shared" si="2"/>
        <v>2038</v>
      </c>
      <c r="C39" s="49">
        <f t="shared" si="0"/>
        <v>2041</v>
      </c>
      <c r="D39" s="54"/>
      <c r="E39" s="63"/>
      <c r="F39" s="55"/>
      <c r="G39" s="54"/>
      <c r="H39" s="63"/>
      <c r="I39" s="55"/>
      <c r="J39" s="54"/>
      <c r="K39" s="63"/>
      <c r="L39" s="55"/>
      <c r="M39" s="54"/>
      <c r="N39" s="63"/>
      <c r="O39" s="55"/>
      <c r="P39" s="54"/>
      <c r="Q39" s="63"/>
      <c r="R39" s="55"/>
      <c r="S39" s="54"/>
      <c r="T39" s="63"/>
      <c r="U39" s="55"/>
      <c r="V39" s="54"/>
      <c r="W39" s="63"/>
      <c r="X39" s="55"/>
      <c r="Y39" s="54"/>
      <c r="Z39" s="63"/>
      <c r="AA39" s="55"/>
      <c r="AB39" s="56">
        <f t="shared" si="35"/>
        <v>0</v>
      </c>
      <c r="AC39" s="63">
        <f t="shared" si="24"/>
        <v>-3</v>
      </c>
      <c r="AD39" s="297">
        <f t="shared" si="36"/>
        <v>0</v>
      </c>
      <c r="AE39" s="111"/>
      <c r="AF39" s="54"/>
      <c r="AG39" s="430"/>
      <c r="AH39" s="431"/>
      <c r="AP39" s="216">
        <v>500000</v>
      </c>
    </row>
    <row r="40" spans="1:42" s="50" customFormat="1" x14ac:dyDescent="0.25">
      <c r="A40" s="49">
        <f t="shared" si="10"/>
        <v>25</v>
      </c>
      <c r="B40" s="49">
        <f t="shared" si="2"/>
        <v>2039</v>
      </c>
      <c r="C40" s="49">
        <f t="shared" si="0"/>
        <v>2042</v>
      </c>
      <c r="D40" s="54"/>
      <c r="E40" s="63"/>
      <c r="F40" s="55"/>
      <c r="G40" s="54"/>
      <c r="H40" s="63"/>
      <c r="I40" s="55"/>
      <c r="J40" s="54"/>
      <c r="K40" s="63"/>
      <c r="L40" s="55"/>
      <c r="M40" s="54"/>
      <c r="N40" s="63"/>
      <c r="O40" s="55"/>
      <c r="P40" s="54"/>
      <c r="Q40" s="63"/>
      <c r="R40" s="55"/>
      <c r="S40" s="54"/>
      <c r="T40" s="63"/>
      <c r="U40" s="55"/>
      <c r="V40" s="54"/>
      <c r="W40" s="63"/>
      <c r="X40" s="55"/>
      <c r="Y40" s="54"/>
      <c r="Z40" s="63"/>
      <c r="AA40" s="55"/>
      <c r="AB40" s="56">
        <f t="shared" si="35"/>
        <v>0</v>
      </c>
      <c r="AC40" s="63">
        <f t="shared" si="24"/>
        <v>-4</v>
      </c>
      <c r="AD40" s="297">
        <f t="shared" si="36"/>
        <v>0</v>
      </c>
      <c r="AE40" s="111"/>
      <c r="AF40" s="54"/>
      <c r="AG40" s="430"/>
      <c r="AH40" s="431"/>
      <c r="AP40" s="216">
        <v>500000</v>
      </c>
    </row>
    <row r="41" spans="1:42" s="50" customFormat="1" x14ac:dyDescent="0.25">
      <c r="A41" s="49">
        <f t="shared" si="10"/>
        <v>26</v>
      </c>
      <c r="B41" s="49">
        <f t="shared" si="2"/>
        <v>2040</v>
      </c>
      <c r="C41" s="49">
        <f t="shared" si="0"/>
        <v>2043</v>
      </c>
      <c r="D41" s="54"/>
      <c r="E41" s="63"/>
      <c r="F41" s="55"/>
      <c r="G41" s="54"/>
      <c r="H41" s="63"/>
      <c r="I41" s="55"/>
      <c r="J41" s="54"/>
      <c r="K41" s="63"/>
      <c r="L41" s="55"/>
      <c r="M41" s="54"/>
      <c r="N41" s="63"/>
      <c r="O41" s="55"/>
      <c r="P41" s="54"/>
      <c r="Q41" s="63"/>
      <c r="R41" s="55"/>
      <c r="S41" s="54"/>
      <c r="T41" s="63"/>
      <c r="U41" s="55"/>
      <c r="V41" s="54"/>
      <c r="W41" s="63"/>
      <c r="X41" s="55"/>
      <c r="Y41" s="54"/>
      <c r="Z41" s="63"/>
      <c r="AA41" s="55"/>
      <c r="AB41" s="56">
        <f t="shared" si="35"/>
        <v>0</v>
      </c>
      <c r="AC41" s="63">
        <f t="shared" si="24"/>
        <v>-5</v>
      </c>
      <c r="AD41" s="297">
        <f t="shared" si="36"/>
        <v>0</v>
      </c>
      <c r="AE41" s="111"/>
      <c r="AF41" s="54"/>
      <c r="AG41" s="430"/>
      <c r="AH41" s="431"/>
      <c r="AP41" s="216">
        <v>500000</v>
      </c>
    </row>
    <row r="42" spans="1:42" s="50" customFormat="1" x14ac:dyDescent="0.25">
      <c r="A42" s="49">
        <f t="shared" si="10"/>
        <v>27</v>
      </c>
      <c r="B42" s="49">
        <f t="shared" si="2"/>
        <v>2041</v>
      </c>
      <c r="C42" s="49">
        <f t="shared" si="0"/>
        <v>2044</v>
      </c>
      <c r="D42" s="54"/>
      <c r="E42" s="63"/>
      <c r="F42" s="55"/>
      <c r="G42" s="54"/>
      <c r="H42" s="63"/>
      <c r="I42" s="55"/>
      <c r="J42" s="54"/>
      <c r="K42" s="65"/>
      <c r="L42" s="55"/>
      <c r="M42" s="54"/>
      <c r="N42" s="63"/>
      <c r="O42" s="55"/>
      <c r="P42" s="54"/>
      <c r="Q42" s="63"/>
      <c r="R42" s="55"/>
      <c r="S42" s="54"/>
      <c r="T42" s="63"/>
      <c r="U42" s="55"/>
      <c r="V42" s="54"/>
      <c r="W42" s="63"/>
      <c r="X42" s="55"/>
      <c r="Y42" s="54"/>
      <c r="Z42" s="63"/>
      <c r="AA42" s="55"/>
      <c r="AB42" s="56">
        <f t="shared" si="35"/>
        <v>0</v>
      </c>
      <c r="AC42" s="63">
        <f t="shared" si="24"/>
        <v>-6</v>
      </c>
      <c r="AD42" s="297">
        <f t="shared" si="36"/>
        <v>0</v>
      </c>
      <c r="AE42" s="111"/>
      <c r="AF42" s="54"/>
      <c r="AG42" s="430"/>
      <c r="AH42" s="431"/>
      <c r="AP42" s="216">
        <v>500000</v>
      </c>
    </row>
    <row r="43" spans="1:42" s="50" customFormat="1" x14ac:dyDescent="0.25">
      <c r="A43" s="49">
        <f t="shared" si="10"/>
        <v>28</v>
      </c>
      <c r="B43" s="49">
        <f t="shared" si="2"/>
        <v>2042</v>
      </c>
      <c r="C43" s="49">
        <f t="shared" si="0"/>
        <v>2045</v>
      </c>
      <c r="D43" s="54"/>
      <c r="E43" s="63"/>
      <c r="F43" s="55"/>
      <c r="G43" s="54"/>
      <c r="H43" s="63"/>
      <c r="I43" s="55"/>
      <c r="J43" s="54"/>
      <c r="K43" s="63"/>
      <c r="L43" s="55"/>
      <c r="M43" s="54"/>
      <c r="N43" s="63"/>
      <c r="O43" s="55"/>
      <c r="P43" s="54"/>
      <c r="Q43" s="63"/>
      <c r="R43" s="55"/>
      <c r="S43" s="54"/>
      <c r="T43" s="63"/>
      <c r="U43" s="55"/>
      <c r="V43" s="54"/>
      <c r="W43" s="63"/>
      <c r="X43" s="55"/>
      <c r="Y43" s="54"/>
      <c r="Z43" s="63"/>
      <c r="AA43" s="55"/>
      <c r="AB43" s="56">
        <f t="shared" si="35"/>
        <v>0</v>
      </c>
      <c r="AC43" s="63">
        <f t="shared" si="24"/>
        <v>-7</v>
      </c>
      <c r="AD43" s="297">
        <f t="shared" si="36"/>
        <v>0</v>
      </c>
      <c r="AE43" s="111"/>
      <c r="AF43" s="54"/>
      <c r="AG43" s="430"/>
      <c r="AH43" s="431"/>
      <c r="AP43" s="216">
        <v>500000</v>
      </c>
    </row>
    <row r="44" spans="1:42" x14ac:dyDescent="0.25">
      <c r="A44" s="49">
        <f t="shared" si="10"/>
        <v>29</v>
      </c>
      <c r="B44" s="49">
        <f t="shared" si="2"/>
        <v>2043</v>
      </c>
      <c r="C44" s="49">
        <f t="shared" si="0"/>
        <v>2046</v>
      </c>
      <c r="D44" s="54"/>
      <c r="E44" s="63"/>
      <c r="F44" s="55"/>
      <c r="G44" s="54"/>
      <c r="H44" s="63"/>
      <c r="I44" s="55"/>
      <c r="J44" s="54"/>
      <c r="K44" s="63"/>
      <c r="L44" s="55"/>
      <c r="M44" s="54"/>
      <c r="N44" s="63"/>
      <c r="O44" s="55"/>
      <c r="P44" s="54"/>
      <c r="Q44" s="63"/>
      <c r="R44" s="55"/>
      <c r="S44" s="54"/>
      <c r="T44" s="63"/>
      <c r="U44" s="55"/>
      <c r="V44" s="54"/>
      <c r="W44" s="63"/>
      <c r="X44" s="55"/>
      <c r="Y44" s="54"/>
      <c r="Z44" s="63"/>
      <c r="AA44" s="55"/>
      <c r="AB44" s="56">
        <f t="shared" si="35"/>
        <v>0</v>
      </c>
      <c r="AC44" s="63">
        <f t="shared" si="24"/>
        <v>-8</v>
      </c>
      <c r="AD44" s="297">
        <f t="shared" si="36"/>
        <v>0</v>
      </c>
      <c r="AE44" s="111"/>
      <c r="AF44" s="54"/>
      <c r="AG44" s="430"/>
      <c r="AH44" s="431"/>
      <c r="AP44" s="216">
        <v>500000</v>
      </c>
    </row>
    <row r="45" spans="1:42" x14ac:dyDescent="0.25">
      <c r="A45" s="49">
        <f t="shared" si="10"/>
        <v>30</v>
      </c>
      <c r="B45" s="49">
        <f t="shared" si="2"/>
        <v>2044</v>
      </c>
      <c r="C45" s="49">
        <f t="shared" si="0"/>
        <v>2047</v>
      </c>
      <c r="D45" s="54"/>
      <c r="E45" s="63"/>
      <c r="F45" s="55"/>
      <c r="G45" s="54"/>
      <c r="H45" s="63"/>
      <c r="I45" s="55"/>
      <c r="J45" s="54"/>
      <c r="K45" s="63"/>
      <c r="L45" s="55"/>
      <c r="M45" s="54"/>
      <c r="N45" s="63"/>
      <c r="O45" s="55"/>
      <c r="P45" s="54"/>
      <c r="Q45" s="63"/>
      <c r="R45" s="55"/>
      <c r="S45" s="54"/>
      <c r="T45" s="63"/>
      <c r="U45" s="55"/>
      <c r="V45" s="54"/>
      <c r="W45" s="63"/>
      <c r="X45" s="55"/>
      <c r="Y45" s="54"/>
      <c r="Z45" s="63"/>
      <c r="AA45" s="55"/>
      <c r="AB45" s="56"/>
      <c r="AC45" s="63"/>
      <c r="AD45" s="297"/>
      <c r="AE45" s="111"/>
      <c r="AF45" s="54"/>
      <c r="AG45" s="430"/>
      <c r="AH45" s="431"/>
      <c r="AP45" s="216">
        <v>500000</v>
      </c>
    </row>
    <row r="46" spans="1:42" x14ac:dyDescent="0.25">
      <c r="C46" s="56"/>
      <c r="D46" s="57"/>
      <c r="E46" s="68"/>
      <c r="F46" s="58"/>
      <c r="G46" s="57"/>
      <c r="H46" s="68"/>
      <c r="I46" s="58"/>
      <c r="J46" s="325"/>
      <c r="K46" s="68"/>
      <c r="L46" s="58"/>
      <c r="M46" s="60"/>
      <c r="N46" s="61"/>
      <c r="O46" s="62"/>
      <c r="P46" s="60"/>
      <c r="Q46" s="61"/>
      <c r="R46" s="62"/>
      <c r="S46" s="60"/>
      <c r="T46" s="61"/>
      <c r="U46" s="62"/>
      <c r="V46" s="60"/>
      <c r="W46" s="61"/>
      <c r="X46" s="62"/>
      <c r="Y46" s="60"/>
      <c r="Z46" s="61"/>
      <c r="AA46" s="62"/>
      <c r="AB46" s="67"/>
      <c r="AC46" s="67"/>
      <c r="AD46" s="298"/>
      <c r="AE46" s="52"/>
      <c r="AF46" s="66"/>
      <c r="AG46" s="67"/>
      <c r="AH46" s="298"/>
    </row>
    <row r="47" spans="1:42" x14ac:dyDescent="0.25">
      <c r="C47" s="47"/>
      <c r="AB47" s="49" t="s">
        <v>81</v>
      </c>
      <c r="AD47" s="47">
        <f>SUM(AD16:AD46)</f>
        <v>482554107.90898156</v>
      </c>
      <c r="AF47" s="49" t="s">
        <v>81</v>
      </c>
      <c r="AH47" s="47">
        <f>SUM(AH16:AH46)</f>
        <v>483959496.87895888</v>
      </c>
    </row>
    <row r="48" spans="1:42" x14ac:dyDescent="0.25">
      <c r="B48" s="215">
        <v>0</v>
      </c>
      <c r="C48" s="52"/>
      <c r="D48" s="56"/>
      <c r="E48" s="49" t="s">
        <v>152</v>
      </c>
      <c r="AB48" s="49" t="s">
        <v>86</v>
      </c>
      <c r="AD48" s="48">
        <f>NPV(0.03,AD16:AD45)</f>
        <v>361624011.98032933</v>
      </c>
      <c r="AE48" s="48"/>
      <c r="AH48" s="48">
        <f>NPV(0.03,AH16:AH45)</f>
        <v>360429630.77639538</v>
      </c>
    </row>
    <row r="49" spans="2:34" x14ac:dyDescent="0.25">
      <c r="B49" s="215">
        <v>-1</v>
      </c>
      <c r="C49" s="52"/>
      <c r="D49" s="274"/>
      <c r="E49" s="49" t="s">
        <v>153</v>
      </c>
      <c r="AF49" s="49"/>
    </row>
    <row r="50" spans="2:34" x14ac:dyDescent="0.25">
      <c r="B50" s="215">
        <v>1</v>
      </c>
      <c r="C50" s="52"/>
      <c r="D50" s="56"/>
      <c r="E50" s="49" t="s">
        <v>154</v>
      </c>
      <c r="AF50" s="49"/>
      <c r="AG50" s="106" t="s">
        <v>228</v>
      </c>
      <c r="AH50" s="47">
        <f>AD47-AH47</f>
        <v>-1405388.9699773192</v>
      </c>
    </row>
    <row r="51" spans="2:34" x14ac:dyDescent="0.25">
      <c r="AF51" s="49"/>
      <c r="AG51" s="106" t="s">
        <v>227</v>
      </c>
      <c r="AH51" s="47">
        <f>AD48-AH48</f>
        <v>1194381.2039339542</v>
      </c>
    </row>
  </sheetData>
  <mergeCells count="19">
    <mergeCell ref="S11:U11"/>
    <mergeCell ref="V11:X11"/>
    <mergeCell ref="Y11:AA11"/>
    <mergeCell ref="AG5:AL5"/>
    <mergeCell ref="D10:AD10"/>
    <mergeCell ref="AB11:AD11"/>
    <mergeCell ref="AF11:AH11"/>
    <mergeCell ref="AF12:AH12"/>
    <mergeCell ref="M11:O11"/>
    <mergeCell ref="D12:F12"/>
    <mergeCell ref="G12:I12"/>
    <mergeCell ref="J12:L12"/>
    <mergeCell ref="M12:O12"/>
    <mergeCell ref="AB12:AD12"/>
    <mergeCell ref="P12:R12"/>
    <mergeCell ref="S12:U12"/>
    <mergeCell ref="V12:X12"/>
    <mergeCell ref="Y12:AA12"/>
    <mergeCell ref="P11:R11"/>
  </mergeCells>
  <conditionalFormatting sqref="D17">
    <cfRule type="cellIs" dxfId="80" priority="67" operator="greaterThanOrEqual">
      <formula>D16</formula>
    </cfRule>
    <cfRule type="cellIs" dxfId="79" priority="68" operator="greaterThan">
      <formula>D$16</formula>
    </cfRule>
    <cfRule type="cellIs" dxfId="78" priority="69" operator="lessThanOrEqual">
      <formula>D$16</formula>
    </cfRule>
  </conditionalFormatting>
  <conditionalFormatting sqref="D18:D32">
    <cfRule type="cellIs" dxfId="77" priority="64" operator="greaterThanOrEqual">
      <formula>D17</formula>
    </cfRule>
    <cfRule type="cellIs" dxfId="76" priority="65" operator="greaterThan">
      <formula>D$16</formula>
    </cfRule>
    <cfRule type="cellIs" dxfId="75" priority="66" operator="lessThanOrEqual">
      <formula>D$16</formula>
    </cfRule>
  </conditionalFormatting>
  <conditionalFormatting sqref="D48">
    <cfRule type="cellIs" dxfId="74" priority="61" operator="greaterThanOrEqual">
      <formula>B48</formula>
    </cfRule>
    <cfRule type="cellIs" dxfId="73" priority="62" operator="greaterThan">
      <formula>B49</formula>
    </cfRule>
    <cfRule type="cellIs" dxfId="72" priority="63" operator="lessThanOrEqual">
      <formula>51</formula>
    </cfRule>
  </conditionalFormatting>
  <conditionalFormatting sqref="AB17:AB45">
    <cfRule type="cellIs" dxfId="71" priority="58" operator="greaterThanOrEqual">
      <formula>AB16</formula>
    </cfRule>
    <cfRule type="cellIs" dxfId="70" priority="59" operator="greaterThan">
      <formula>AB$16</formula>
    </cfRule>
    <cfRule type="cellIs" dxfId="69" priority="60" operator="lessThanOrEqual">
      <formula>AB$16</formula>
    </cfRule>
  </conditionalFormatting>
  <conditionalFormatting sqref="D50">
    <cfRule type="cellIs" dxfId="68" priority="74" operator="greaterThanOrEqual">
      <formula>B50</formula>
    </cfRule>
    <cfRule type="cellIs" dxfId="67" priority="75" operator="greaterThan">
      <formula>D48</formula>
    </cfRule>
    <cfRule type="cellIs" dxfId="66" priority="76" operator="lessThanOrEqual">
      <formula>51</formula>
    </cfRule>
  </conditionalFormatting>
  <conditionalFormatting sqref="J17">
    <cfRule type="cellIs" dxfId="65" priority="49" operator="greaterThanOrEqual">
      <formula>J16</formula>
    </cfRule>
    <cfRule type="cellIs" dxfId="64" priority="50" operator="greaterThan">
      <formula>J$16</formula>
    </cfRule>
    <cfRule type="cellIs" dxfId="63" priority="51" operator="lessThanOrEqual">
      <formula>J$16</formula>
    </cfRule>
  </conditionalFormatting>
  <conditionalFormatting sqref="J18:J35">
    <cfRule type="cellIs" dxfId="62" priority="46" operator="greaterThanOrEqual">
      <formula>J17</formula>
    </cfRule>
    <cfRule type="cellIs" dxfId="61" priority="47" operator="greaterThan">
      <formula>J$16</formula>
    </cfRule>
    <cfRule type="cellIs" dxfId="60" priority="48" operator="lessThanOrEqual">
      <formula>J$16</formula>
    </cfRule>
  </conditionalFormatting>
  <conditionalFormatting sqref="M17:M35">
    <cfRule type="cellIs" dxfId="59" priority="34" operator="greaterThanOrEqual">
      <formula>M16</formula>
    </cfRule>
    <cfRule type="cellIs" dxfId="58" priority="35" operator="greaterThan">
      <formula>M$16</formula>
    </cfRule>
    <cfRule type="cellIs" dxfId="57" priority="36" operator="lessThanOrEqual">
      <formula>M$16</formula>
    </cfRule>
  </conditionalFormatting>
  <conditionalFormatting sqref="P17:P35">
    <cfRule type="cellIs" dxfId="56" priority="28" operator="greaterThanOrEqual">
      <formula>P16</formula>
    </cfRule>
    <cfRule type="cellIs" dxfId="55" priority="29" operator="greaterThan">
      <formula>P$16</formula>
    </cfRule>
    <cfRule type="cellIs" dxfId="54" priority="30" operator="lessThanOrEqual">
      <formula>P$16</formula>
    </cfRule>
  </conditionalFormatting>
  <conditionalFormatting sqref="S17:S35">
    <cfRule type="cellIs" dxfId="53" priority="25" operator="greaterThanOrEqual">
      <formula>S16</formula>
    </cfRule>
    <cfRule type="cellIs" dxfId="52" priority="26" operator="greaterThan">
      <formula>S$16</formula>
    </cfRule>
    <cfRule type="cellIs" dxfId="51" priority="27" operator="lessThanOrEqual">
      <formula>S$16</formula>
    </cfRule>
  </conditionalFormatting>
  <conditionalFormatting sqref="V17:V35">
    <cfRule type="cellIs" dxfId="50" priority="22" operator="greaterThanOrEqual">
      <formula>V16</formula>
    </cfRule>
    <cfRule type="cellIs" dxfId="49" priority="23" operator="greaterThan">
      <formula>V$16</formula>
    </cfRule>
    <cfRule type="cellIs" dxfId="48" priority="24" operator="lessThanOrEqual">
      <formula>V$16</formula>
    </cfRule>
  </conditionalFormatting>
  <conditionalFormatting sqref="Y17:Y35">
    <cfRule type="cellIs" dxfId="47" priority="19" operator="greaterThanOrEqual">
      <formula>Y16</formula>
    </cfRule>
    <cfRule type="cellIs" dxfId="46" priority="20" operator="greaterThan">
      <formula>Y$16</formula>
    </cfRule>
    <cfRule type="cellIs" dxfId="45" priority="21" operator="lessThanOrEqual">
      <formula>Y$16</formula>
    </cfRule>
  </conditionalFormatting>
  <conditionalFormatting sqref="G16">
    <cfRule type="cellIs" dxfId="44" priority="10" operator="greaterThanOrEqual">
      <formula>G15</formula>
    </cfRule>
    <cfRule type="cellIs" dxfId="43" priority="11" operator="greaterThan">
      <formula>G$16</formula>
    </cfRule>
    <cfRule type="cellIs" dxfId="42" priority="12" operator="lessThanOrEqual">
      <formula>G$16</formula>
    </cfRule>
  </conditionalFormatting>
  <conditionalFormatting sqref="G17:G45">
    <cfRule type="cellIs" dxfId="41" priority="7" operator="greaterThanOrEqual">
      <formula>G16</formula>
    </cfRule>
    <cfRule type="cellIs" dxfId="40" priority="8" operator="greaterThan">
      <formula>G$16</formula>
    </cfRule>
    <cfRule type="cellIs" dxfId="39" priority="9" operator="lessThanOrEqual">
      <formula>G$16</formula>
    </cfRule>
  </conditionalFormatting>
  <conditionalFormatting sqref="AE14:AE45">
    <cfRule type="iconSet" priority="180">
      <iconSet>
        <cfvo type="percent" val="0"/>
        <cfvo type="num" val="0.7"/>
        <cfvo type="num" val="0.8"/>
      </iconSet>
    </cfRule>
  </conditionalFormatting>
  <conditionalFormatting sqref="AF18:AF35">
    <cfRule type="cellIs" dxfId="38" priority="1" operator="greaterThanOrEqual">
      <formula>AF17</formula>
    </cfRule>
    <cfRule type="cellIs" dxfId="37" priority="2" operator="greaterThan">
      <formula>AF$16</formula>
    </cfRule>
    <cfRule type="cellIs" dxfId="36" priority="3" operator="lessThanOrEqual">
      <formula>AF$16</formula>
    </cfRule>
  </conditionalFormatting>
  <conditionalFormatting sqref="AF17">
    <cfRule type="cellIs" dxfId="35" priority="4" operator="greaterThanOrEqual">
      <formula>AF16</formula>
    </cfRule>
    <cfRule type="cellIs" dxfId="34" priority="5" operator="greaterThan">
      <formula>AF$16</formula>
    </cfRule>
    <cfRule type="cellIs" dxfId="33" priority="6" operator="lessThanOrEqual">
      <formula>AF$16</formula>
    </cfRule>
  </conditionalFormatting>
  <pageMargins left="0.25" right="0.25" top="0.25" bottom="0.25" header="0.3" footer="0.3"/>
  <pageSetup scale="41" orientation="landscape" r:id="rId1"/>
  <headerFooter differentFirst="1">
    <oddFooter>&amp;R&amp;P</oddFooter>
  </headerFooter>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4:AE58"/>
  <sheetViews>
    <sheetView showGridLines="0" workbookViewId="0">
      <selection activeCell="E56" sqref="E56"/>
    </sheetView>
  </sheetViews>
  <sheetFormatPr defaultColWidth="9.140625" defaultRowHeight="15" x14ac:dyDescent="0.25"/>
  <cols>
    <col min="1" max="1" width="3.5703125" style="49" customWidth="1"/>
    <col min="2" max="2" width="5" style="49" bestFit="1" customWidth="1"/>
    <col min="3" max="3" width="15.42578125" style="49" customWidth="1"/>
    <col min="4" max="4" width="4.85546875" style="49" bestFit="1" customWidth="1"/>
    <col min="5" max="5" width="13.7109375" style="49" bestFit="1" customWidth="1"/>
    <col min="6" max="6" width="14" style="50" hidden="1" customWidth="1"/>
    <col min="7" max="7" width="15.28515625" style="49" bestFit="1" customWidth="1"/>
    <col min="8" max="8" width="5" style="49" customWidth="1"/>
    <col min="9" max="9" width="15" style="49" bestFit="1" customWidth="1"/>
    <col min="10" max="10" width="6.28515625" style="49" bestFit="1" customWidth="1"/>
    <col min="11" max="11" width="16" style="49" bestFit="1" customWidth="1"/>
    <col min="12" max="12" width="13.7109375" style="49" customWidth="1"/>
    <col min="13" max="13" width="14" style="50" hidden="1" customWidth="1"/>
    <col min="14" max="14" width="9.5703125" style="49" customWidth="1"/>
    <col min="15" max="15" width="15" style="49" customWidth="1"/>
    <col min="16" max="16" width="6.28515625" style="49" bestFit="1" customWidth="1"/>
    <col min="17" max="18" width="14.42578125" style="49" bestFit="1" customWidth="1"/>
    <col min="19" max="19" width="13.7109375" style="49" hidden="1" customWidth="1"/>
    <col min="20" max="20" width="10.5703125" style="49" customWidth="1"/>
    <col min="21" max="21" width="15.5703125" style="49" customWidth="1"/>
    <col min="22" max="22" width="6.28515625" style="49" bestFit="1" customWidth="1"/>
    <col min="23" max="23" width="14.42578125" style="49" bestFit="1" customWidth="1"/>
    <col min="24" max="24" width="15.42578125" style="49" customWidth="1"/>
    <col min="25" max="25" width="12.28515625" style="49" hidden="1" customWidth="1"/>
    <col min="26" max="26" width="10.140625" style="49" customWidth="1"/>
    <col min="27" max="28" width="13.7109375" style="49" hidden="1" customWidth="1"/>
    <col min="29" max="29" width="3" style="49" customWidth="1"/>
    <col min="30" max="30" width="14.28515625" style="73" bestFit="1" customWidth="1"/>
    <col min="31" max="31" width="11.5703125" style="49" bestFit="1" customWidth="1"/>
    <col min="32" max="16384" width="9.140625" style="49"/>
  </cols>
  <sheetData>
    <row r="4" spans="1:31" ht="26.25" x14ac:dyDescent="0.4">
      <c r="C4" s="214" t="s">
        <v>130</v>
      </c>
    </row>
    <row r="7" spans="1:31" ht="18.75" x14ac:dyDescent="0.3">
      <c r="C7" s="548" t="s">
        <v>91</v>
      </c>
      <c r="D7" s="549"/>
      <c r="E7" s="549"/>
      <c r="F7" s="549"/>
      <c r="G7" s="550"/>
      <c r="X7" s="104"/>
      <c r="Y7" s="104"/>
      <c r="Z7" s="104"/>
      <c r="AA7" s="104"/>
      <c r="AB7" s="104"/>
    </row>
    <row r="8" spans="1:31" ht="18.75" x14ac:dyDescent="0.3">
      <c r="C8" s="576" t="s">
        <v>123</v>
      </c>
      <c r="D8" s="577"/>
      <c r="E8" s="577"/>
      <c r="F8" s="577"/>
      <c r="G8" s="578"/>
      <c r="I8" s="548" t="s">
        <v>79</v>
      </c>
      <c r="J8" s="549"/>
      <c r="K8" s="549"/>
      <c r="L8" s="549"/>
      <c r="M8" s="549"/>
      <c r="N8" s="549"/>
      <c r="O8" s="549"/>
      <c r="P8" s="549"/>
      <c r="Q8" s="549"/>
      <c r="R8" s="549"/>
      <c r="S8" s="549"/>
      <c r="T8" s="549"/>
      <c r="U8" s="549"/>
      <c r="V8" s="549"/>
      <c r="W8" s="549"/>
      <c r="X8" s="549"/>
      <c r="Y8" s="549"/>
      <c r="Z8" s="550"/>
    </row>
    <row r="9" spans="1:31" x14ac:dyDescent="0.25">
      <c r="C9" s="565" t="s">
        <v>87</v>
      </c>
      <c r="D9" s="566"/>
      <c r="E9" s="566"/>
      <c r="F9" s="566"/>
      <c r="G9" s="567"/>
      <c r="I9" s="568" t="s">
        <v>134</v>
      </c>
      <c r="J9" s="569"/>
      <c r="K9" s="569"/>
      <c r="L9" s="569"/>
      <c r="M9" s="569"/>
      <c r="N9" s="570"/>
      <c r="O9" s="568" t="s">
        <v>135</v>
      </c>
      <c r="P9" s="569"/>
      <c r="Q9" s="569"/>
      <c r="R9" s="569"/>
      <c r="S9" s="569"/>
      <c r="T9" s="570"/>
      <c r="U9" s="568" t="s">
        <v>137</v>
      </c>
      <c r="V9" s="569"/>
      <c r="W9" s="569"/>
      <c r="X9" s="569"/>
      <c r="Y9" s="569"/>
      <c r="Z9" s="570"/>
      <c r="AA9" s="108"/>
      <c r="AB9" s="108"/>
      <c r="AC9" s="53"/>
    </row>
    <row r="10" spans="1:31" x14ac:dyDescent="0.25">
      <c r="C10" s="128" t="s">
        <v>49</v>
      </c>
      <c r="D10" s="125" t="s">
        <v>52</v>
      </c>
      <c r="E10" s="125" t="s">
        <v>51</v>
      </c>
      <c r="F10" s="71" t="s">
        <v>77</v>
      </c>
      <c r="G10" s="116" t="s">
        <v>78</v>
      </c>
      <c r="I10" s="130" t="s">
        <v>49</v>
      </c>
      <c r="J10" s="131" t="s">
        <v>50</v>
      </c>
      <c r="K10" s="131" t="s">
        <v>51</v>
      </c>
      <c r="L10" s="131" t="s">
        <v>83</v>
      </c>
      <c r="M10" s="118" t="s">
        <v>77</v>
      </c>
      <c r="N10" s="119" t="s">
        <v>78</v>
      </c>
      <c r="O10" s="130" t="s">
        <v>49</v>
      </c>
      <c r="P10" s="131" t="s">
        <v>50</v>
      </c>
      <c r="Q10" s="131" t="s">
        <v>51</v>
      </c>
      <c r="R10" s="131" t="s">
        <v>83</v>
      </c>
      <c r="S10" s="118" t="s">
        <v>77</v>
      </c>
      <c r="T10" s="119" t="s">
        <v>78</v>
      </c>
      <c r="U10" s="130" t="s">
        <v>49</v>
      </c>
      <c r="V10" s="131" t="s">
        <v>50</v>
      </c>
      <c r="W10" s="131" t="s">
        <v>51</v>
      </c>
      <c r="X10" s="131" t="s">
        <v>83</v>
      </c>
      <c r="Y10" s="118" t="s">
        <v>77</v>
      </c>
      <c r="Z10" s="119" t="s">
        <v>78</v>
      </c>
      <c r="AA10" s="88"/>
      <c r="AB10" s="88"/>
      <c r="AC10" s="53"/>
    </row>
    <row r="11" spans="1:31" x14ac:dyDescent="0.25">
      <c r="B11" s="49">
        <v>2013</v>
      </c>
      <c r="C11" s="124">
        <f>'Safety Curr ScheduleOLD'!O14</f>
        <v>163203452</v>
      </c>
      <c r="D11" s="125"/>
      <c r="E11" s="129">
        <f>'Safety Curr ScheduleOLD'!Q14</f>
        <v>0</v>
      </c>
      <c r="F11" s="71">
        <f>'Safety Curr ScheduleOLD'!R14</f>
        <v>437688131</v>
      </c>
      <c r="G11" s="113">
        <f>'Safety Curr ScheduleOLD'!S14</f>
        <v>0.62712388013098763</v>
      </c>
      <c r="I11" s="54">
        <f>$C11</f>
        <v>163203452</v>
      </c>
      <c r="J11" s="88"/>
      <c r="K11" s="88"/>
      <c r="L11" s="88"/>
      <c r="M11" s="63">
        <f>$F11</f>
        <v>437688131</v>
      </c>
      <c r="N11" s="111">
        <f t="shared" ref="N11:N32" si="0">(M11-I11)/M11</f>
        <v>0.62712388013098763</v>
      </c>
      <c r="O11" s="54">
        <f>$C11</f>
        <v>163203452</v>
      </c>
      <c r="P11" s="88"/>
      <c r="Q11" s="88"/>
      <c r="R11" s="88"/>
      <c r="S11" s="63">
        <f>$F11</f>
        <v>437688131</v>
      </c>
      <c r="T11" s="111">
        <f t="shared" ref="T11:T28" si="1">(S11-O11)/S11</f>
        <v>0.62712388013098763</v>
      </c>
      <c r="U11" s="117">
        <f>$C11</f>
        <v>163203452</v>
      </c>
      <c r="V11" s="115"/>
      <c r="W11" s="115"/>
      <c r="X11" s="115"/>
      <c r="Y11" s="71">
        <f>$F11</f>
        <v>437688131</v>
      </c>
      <c r="Z11" s="113">
        <f t="shared" ref="Z11:Z23" si="2">(Y11-U11)/Y11</f>
        <v>0.62712388013098763</v>
      </c>
      <c r="AA11" s="88"/>
      <c r="AB11" s="88"/>
      <c r="AC11" s="53"/>
    </row>
    <row r="12" spans="1:31" ht="15.75" thickBot="1" x14ac:dyDescent="0.3">
      <c r="B12" s="49">
        <v>2014</v>
      </c>
      <c r="C12" s="92">
        <f>'Safety Curr ScheduleOLD'!O15</f>
        <v>168299277</v>
      </c>
      <c r="D12" s="78"/>
      <c r="E12" s="132">
        <f>'Safety Curr ScheduleOLD'!Q15</f>
        <v>0</v>
      </c>
      <c r="F12" s="68">
        <f>'Safety Curr ScheduleOLD'!R15</f>
        <v>461454596.5133</v>
      </c>
      <c r="G12" s="112">
        <f>'Safety Curr ScheduleOLD'!S15</f>
        <v>0.63528529508287324</v>
      </c>
      <c r="I12" s="54">
        <f>$C12</f>
        <v>168299277</v>
      </c>
      <c r="J12" s="75"/>
      <c r="K12" s="75"/>
      <c r="L12" s="75"/>
      <c r="M12" s="68">
        <f t="shared" ref="M12:M32" si="3">$F12</f>
        <v>461454596.5133</v>
      </c>
      <c r="N12" s="112">
        <f t="shared" si="0"/>
        <v>0.63528529508287324</v>
      </c>
      <c r="O12" s="54">
        <f>$C12</f>
        <v>168299277</v>
      </c>
      <c r="P12" s="75"/>
      <c r="Q12" s="75"/>
      <c r="R12" s="75"/>
      <c r="S12" s="68">
        <f t="shared" ref="S12:S28" si="4">$F12</f>
        <v>461454596.5133</v>
      </c>
      <c r="T12" s="112">
        <f t="shared" si="1"/>
        <v>0.63528529508287324</v>
      </c>
      <c r="U12" s="57">
        <f>$C12</f>
        <v>168299277</v>
      </c>
      <c r="V12" s="75"/>
      <c r="W12" s="75"/>
      <c r="X12" s="75"/>
      <c r="Y12" s="68">
        <f t="shared" ref="Y12:Y23" si="5">$F12</f>
        <v>461454596.5133</v>
      </c>
      <c r="Z12" s="112">
        <f t="shared" si="2"/>
        <v>0.63528529508287324</v>
      </c>
      <c r="AA12" s="88"/>
      <c r="AB12" s="88"/>
      <c r="AC12" s="53"/>
    </row>
    <row r="13" spans="1:31" ht="16.5" thickTop="1" thickBot="1" x14ac:dyDescent="0.3">
      <c r="A13" s="49">
        <v>1</v>
      </c>
      <c r="B13" s="49">
        <v>2016</v>
      </c>
      <c r="C13" s="200">
        <f>'Safety Curr ScheduleOLD'!O16</f>
        <v>172346617</v>
      </c>
      <c r="D13" s="70">
        <f>'Misc Curr Schd w2016Loss &amp; DC'!Z16</f>
        <v>30</v>
      </c>
      <c r="E13" s="65">
        <f>'Safety Curr ScheduleOLD'!Q16</f>
        <v>9268990.3065291755</v>
      </c>
      <c r="F13" s="63">
        <f>'Safety Curr ScheduleOLD'!R16</f>
        <v>486511581.1039722</v>
      </c>
      <c r="G13" s="109">
        <f>'Safety Curr ScheduleOLD'!S16</f>
        <v>0.64575022734521936</v>
      </c>
      <c r="I13" s="200">
        <f>$C13</f>
        <v>172346617</v>
      </c>
      <c r="J13" s="63">
        <v>19</v>
      </c>
      <c r="K13" s="56">
        <f>-PMT(1.075/1.03-1,J13,I13*1.075^0.5,0,1)</f>
        <v>13447683.176153751</v>
      </c>
      <c r="L13" s="56">
        <f>K13-$E13</f>
        <v>4178692.8696245756</v>
      </c>
      <c r="M13" s="63">
        <f t="shared" si="3"/>
        <v>486511581.1039722</v>
      </c>
      <c r="N13" s="111">
        <f t="shared" si="0"/>
        <v>0.64575022734521936</v>
      </c>
      <c r="O13" s="200">
        <f>$C13</f>
        <v>172346617</v>
      </c>
      <c r="P13" s="71">
        <v>15</v>
      </c>
      <c r="Q13" s="114">
        <f>-PMT(1.075/1.03-1,P13,O13*1.075^0.5,0,1)</f>
        <v>15798934.291820126</v>
      </c>
      <c r="R13" s="56">
        <f>Q13-$E13</f>
        <v>6529943.9852909502</v>
      </c>
      <c r="S13" s="63">
        <f t="shared" si="4"/>
        <v>486511581.1039722</v>
      </c>
      <c r="T13" s="111">
        <f t="shared" si="1"/>
        <v>0.64575022734521936</v>
      </c>
      <c r="U13" s="200">
        <f>$C13</f>
        <v>172346617</v>
      </c>
      <c r="V13" s="71">
        <v>10</v>
      </c>
      <c r="W13" s="114">
        <f>-PMT(1.075/1.03-1,V13,U13*1.075^0.5,0,1)</f>
        <v>21498431.214219775</v>
      </c>
      <c r="X13" s="114">
        <f>W13-$E13</f>
        <v>12229440.9076906</v>
      </c>
      <c r="Y13" s="71">
        <f t="shared" si="5"/>
        <v>486511581.1039722</v>
      </c>
      <c r="Z13" s="113">
        <f t="shared" si="2"/>
        <v>0.64575022734521936</v>
      </c>
      <c r="AA13" s="56"/>
      <c r="AB13" s="56"/>
      <c r="AC13" s="53"/>
    </row>
    <row r="14" spans="1:31" ht="15.75" thickTop="1" x14ac:dyDescent="0.25">
      <c r="A14" s="49">
        <f>A13+1</f>
        <v>2</v>
      </c>
      <c r="B14" s="49">
        <f t="shared" ref="B14:B42" si="6">B13+1</f>
        <v>2017</v>
      </c>
      <c r="C14" s="54">
        <f>'Safety Curr ScheduleOLD'!O17</f>
        <v>175662319.58020473</v>
      </c>
      <c r="D14" s="70">
        <f>'Misc Curr Schd w2016Loss &amp; DC'!Z17</f>
        <v>29</v>
      </c>
      <c r="E14" s="65">
        <f>'Safety Curr ScheduleOLD'!Q17</f>
        <v>10172481.280034052</v>
      </c>
      <c r="F14" s="63">
        <f>'Safety Curr ScheduleOLD'!R17</f>
        <v>512929159.95791787</v>
      </c>
      <c r="G14" s="109">
        <f>'Safety Curr ScheduleOLD'!S17</f>
        <v>0.65753103295079474</v>
      </c>
      <c r="I14" s="54">
        <f>I13*1.075-K13*1.075^0.5</f>
        <v>171329758.5989778</v>
      </c>
      <c r="J14" s="63">
        <f>J13-1</f>
        <v>18</v>
      </c>
      <c r="K14" s="56">
        <f t="shared" ref="K14:K31" si="7">-PMT(1.075/1.03-1,J14,I14*1.075^0.5,0,1)</f>
        <v>13851113.671438364</v>
      </c>
      <c r="L14" s="56">
        <f t="shared" ref="L14:L42" si="8">K14-$E14</f>
        <v>3678632.3914043121</v>
      </c>
      <c r="M14" s="63">
        <f t="shared" si="3"/>
        <v>512929159.95791787</v>
      </c>
      <c r="N14" s="111">
        <f t="shared" si="0"/>
        <v>0.66597773732919729</v>
      </c>
      <c r="O14" s="54">
        <f>O13*1.075-Q13*1.075^0.5</f>
        <v>168891929.5556297</v>
      </c>
      <c r="P14" s="63">
        <f>P13-1</f>
        <v>14</v>
      </c>
      <c r="Q14" s="56">
        <f t="shared" ref="Q14:Q27" si="9">-PMT(1.075/1.03-1,P14,O14*1.075^0.5,0,1)</f>
        <v>16272902.320574732</v>
      </c>
      <c r="R14" s="56">
        <f t="shared" ref="R14:R42" si="10">Q14-$E14</f>
        <v>6100421.0405406803</v>
      </c>
      <c r="S14" s="63">
        <f t="shared" si="4"/>
        <v>512929159.95791787</v>
      </c>
      <c r="T14" s="111">
        <f t="shared" si="1"/>
        <v>0.67073049703493937</v>
      </c>
      <c r="U14" s="54">
        <f>U13*1.075-W13*1.075^0.5</f>
        <v>162982565.37188908</v>
      </c>
      <c r="V14" s="63">
        <f>V13-1</f>
        <v>9</v>
      </c>
      <c r="W14" s="56">
        <f t="shared" ref="W14:W22" si="11">-PMT(1.075/1.03-1,V14,U14*1.075^0.5,0,1)</f>
        <v>22143384.150646366</v>
      </c>
      <c r="X14" s="56">
        <f t="shared" ref="X14:X42" si="12">W14-$E14</f>
        <v>11970902.870612314</v>
      </c>
      <c r="Y14" s="63">
        <f t="shared" si="5"/>
        <v>512929159.95791787</v>
      </c>
      <c r="Z14" s="109">
        <f t="shared" si="2"/>
        <v>0.68225131637035297</v>
      </c>
      <c r="AA14" s="56"/>
      <c r="AB14" s="56"/>
      <c r="AC14" s="53"/>
      <c r="AE14" s="80"/>
    </row>
    <row r="15" spans="1:31" x14ac:dyDescent="0.25">
      <c r="A15" s="49">
        <f t="shared" ref="A15:A42" si="13">A14+1</f>
        <v>3</v>
      </c>
      <c r="B15" s="49">
        <f t="shared" si="6"/>
        <v>2018</v>
      </c>
      <c r="C15" s="54">
        <f>'Safety Curr ScheduleOLD'!O18</f>
        <v>178289940.4746576</v>
      </c>
      <c r="D15" s="70">
        <f>'Misc Curr Schd w2016Loss &amp; DC'!Z18</f>
        <v>28</v>
      </c>
      <c r="E15" s="65">
        <f>'Safety Curr ScheduleOLD'!Q18</f>
        <v>11121839.62067334</v>
      </c>
      <c r="F15" s="63">
        <f>'Safety Curr ScheduleOLD'!R18</f>
        <v>540781213.34363282</v>
      </c>
      <c r="G15" s="109">
        <f>'Safety Curr ScheduleOLD'!S18</f>
        <v>0.6703104026630351</v>
      </c>
      <c r="I15" s="54">
        <f t="shared" ref="I15:I32" si="14">I14*1.075-K14*1.075^0.5</f>
        <v>169818350.17759827</v>
      </c>
      <c r="J15" s="63">
        <f t="shared" ref="J15:J32" si="15">J14-1</f>
        <v>17</v>
      </c>
      <c r="K15" s="56">
        <f t="shared" si="7"/>
        <v>14266647.081581516</v>
      </c>
      <c r="L15" s="56">
        <f t="shared" si="8"/>
        <v>3144807.4609081764</v>
      </c>
      <c r="M15" s="63">
        <f t="shared" si="3"/>
        <v>540781213.34363282</v>
      </c>
      <c r="N15" s="111">
        <f t="shared" si="0"/>
        <v>0.68597586974662661</v>
      </c>
      <c r="O15" s="54">
        <f t="shared" ref="O15:O28" si="16">O14*1.075-Q14*1.075^0.5</f>
        <v>164686720.04135048</v>
      </c>
      <c r="P15" s="63">
        <f t="shared" ref="P15:P28" si="17">P14-1</f>
        <v>13</v>
      </c>
      <c r="Q15" s="56">
        <f t="shared" si="9"/>
        <v>16761089.390191972</v>
      </c>
      <c r="R15" s="56">
        <f t="shared" si="10"/>
        <v>5639249.7695186324</v>
      </c>
      <c r="S15" s="63">
        <f t="shared" si="4"/>
        <v>540781213.34363282</v>
      </c>
      <c r="T15" s="111">
        <f t="shared" si="1"/>
        <v>0.69546516044243145</v>
      </c>
      <c r="U15" s="54">
        <f t="shared" ref="U15:U23" si="18">U14*1.075-W14*1.075^0.5</f>
        <v>152247508.43457651</v>
      </c>
      <c r="V15" s="63">
        <f t="shared" ref="V15:V23" si="19">V14-1</f>
        <v>8</v>
      </c>
      <c r="W15" s="56">
        <f t="shared" si="11"/>
        <v>22807685.675165758</v>
      </c>
      <c r="X15" s="56">
        <f t="shared" si="12"/>
        <v>11685846.054492418</v>
      </c>
      <c r="Y15" s="63">
        <f t="shared" si="5"/>
        <v>540781213.34363282</v>
      </c>
      <c r="Z15" s="109">
        <f t="shared" si="2"/>
        <v>0.71846746026320873</v>
      </c>
      <c r="AA15" s="56"/>
      <c r="AB15" s="56"/>
      <c r="AC15" s="53"/>
    </row>
    <row r="16" spans="1:31" x14ac:dyDescent="0.25">
      <c r="A16" s="49">
        <f t="shared" si="13"/>
        <v>4</v>
      </c>
      <c r="B16" s="49">
        <f t="shared" si="6"/>
        <v>2019</v>
      </c>
      <c r="C16" s="54">
        <f>'Safety Curr ScheduleOLD'!O19</f>
        <v>180130317.2584964</v>
      </c>
      <c r="D16" s="70">
        <f>'Misc Curr Schd w2016Loss &amp; DC'!Z19</f>
        <v>27</v>
      </c>
      <c r="E16" s="65">
        <f>'Safety Curr ScheduleOLD'!Q19</f>
        <v>12119004.228598956</v>
      </c>
      <c r="F16" s="63">
        <f>'Safety Curr ScheduleOLD'!R19</f>
        <v>570145633.22819209</v>
      </c>
      <c r="G16" s="109">
        <f>'Safety Curr ScheduleOLD'!S19</f>
        <v>0.68406262056487244</v>
      </c>
      <c r="I16" s="54">
        <f t="shared" si="14"/>
        <v>167762751.91512614</v>
      </c>
      <c r="J16" s="63">
        <f t="shared" si="15"/>
        <v>16</v>
      </c>
      <c r="K16" s="56">
        <f t="shared" si="7"/>
        <v>14694646.494028963</v>
      </c>
      <c r="L16" s="56">
        <f t="shared" si="8"/>
        <v>2575642.2654300071</v>
      </c>
      <c r="M16" s="63">
        <f t="shared" si="3"/>
        <v>570145633.22819209</v>
      </c>
      <c r="N16" s="111">
        <f t="shared" si="0"/>
        <v>0.7057545613999614</v>
      </c>
      <c r="O16" s="54">
        <f t="shared" si="16"/>
        <v>159659956.68657181</v>
      </c>
      <c r="P16" s="63">
        <f t="shared" si="17"/>
        <v>12</v>
      </c>
      <c r="Q16" s="56">
        <f t="shared" si="9"/>
        <v>17263922.07189773</v>
      </c>
      <c r="R16" s="56">
        <f t="shared" si="10"/>
        <v>5144917.8432987742</v>
      </c>
      <c r="S16" s="63">
        <f t="shared" si="4"/>
        <v>570145633.22819209</v>
      </c>
      <c r="T16" s="111">
        <f t="shared" si="1"/>
        <v>0.71996636055498753</v>
      </c>
      <c r="U16" s="54">
        <f t="shared" si="18"/>
        <v>140018559.74675938</v>
      </c>
      <c r="V16" s="63">
        <f t="shared" si="19"/>
        <v>7</v>
      </c>
      <c r="W16" s="56">
        <f t="shared" si="11"/>
        <v>23491916.245420728</v>
      </c>
      <c r="X16" s="56">
        <f t="shared" si="12"/>
        <v>11372912.016821772</v>
      </c>
      <c r="Y16" s="63">
        <f t="shared" si="5"/>
        <v>570145633.22819209</v>
      </c>
      <c r="Z16" s="109">
        <f t="shared" si="2"/>
        <v>0.75441614986338212</v>
      </c>
      <c r="AA16" s="56"/>
      <c r="AB16" s="56"/>
      <c r="AC16" s="53"/>
    </row>
    <row r="17" spans="1:31" x14ac:dyDescent="0.25">
      <c r="A17" s="49">
        <f t="shared" si="13"/>
        <v>5</v>
      </c>
      <c r="B17" s="49">
        <f t="shared" si="6"/>
        <v>2020</v>
      </c>
      <c r="C17" s="54">
        <f>'Safety Curr ScheduleOLD'!O20</f>
        <v>181074840.03053001</v>
      </c>
      <c r="D17" s="70">
        <f>'Misc Curr Schd w2016Loss &amp; DC'!Z20</f>
        <v>26</v>
      </c>
      <c r="E17" s="65">
        <f>'Safety Curr ScheduleOLD'!Q20</f>
        <v>13165989.057341505</v>
      </c>
      <c r="F17" s="63">
        <f>'Safety Curr ScheduleOLD'!R20</f>
        <v>601104541.11248291</v>
      </c>
      <c r="G17" s="109">
        <f>'Safety Curr ScheduleOLD'!S20</f>
        <v>0.69876314742954837</v>
      </c>
      <c r="I17" s="54">
        <f t="shared" si="14"/>
        <v>165109224.54719487</v>
      </c>
      <c r="J17" s="63">
        <f t="shared" si="15"/>
        <v>15</v>
      </c>
      <c r="K17" s="56">
        <f t="shared" si="7"/>
        <v>15135485.888849832</v>
      </c>
      <c r="L17" s="56">
        <f t="shared" si="8"/>
        <v>1969496.8315083273</v>
      </c>
      <c r="M17" s="63">
        <f t="shared" si="3"/>
        <v>601104541.11248291</v>
      </c>
      <c r="N17" s="111">
        <f t="shared" si="0"/>
        <v>0.72532361136114187</v>
      </c>
      <c r="O17" s="54">
        <f t="shared" si="16"/>
        <v>153734838.05944833</v>
      </c>
      <c r="P17" s="63">
        <f t="shared" si="17"/>
        <v>11</v>
      </c>
      <c r="Q17" s="56">
        <f t="shared" si="9"/>
        <v>17781839.734054662</v>
      </c>
      <c r="R17" s="56">
        <f t="shared" si="10"/>
        <v>4615850.6767131574</v>
      </c>
      <c r="S17" s="63">
        <f t="shared" si="4"/>
        <v>601104541.11248291</v>
      </c>
      <c r="T17" s="111">
        <f t="shared" si="1"/>
        <v>0.74424608775217949</v>
      </c>
      <c r="U17" s="54">
        <f t="shared" si="18"/>
        <v>126163014.55274366</v>
      </c>
      <c r="V17" s="63">
        <f t="shared" si="19"/>
        <v>6</v>
      </c>
      <c r="W17" s="56">
        <f t="shared" si="11"/>
        <v>24196673.732783355</v>
      </c>
      <c r="X17" s="56">
        <f t="shared" si="12"/>
        <v>11030684.67544185</v>
      </c>
      <c r="Y17" s="63">
        <f t="shared" si="5"/>
        <v>601104541.11248291</v>
      </c>
      <c r="Z17" s="109">
        <f t="shared" si="2"/>
        <v>0.79011468733999268</v>
      </c>
      <c r="AA17" s="56"/>
      <c r="AB17" s="56"/>
      <c r="AC17" s="53"/>
    </row>
    <row r="18" spans="1:31" x14ac:dyDescent="0.25">
      <c r="A18" s="49">
        <f t="shared" si="13"/>
        <v>6</v>
      </c>
      <c r="B18" s="49">
        <f t="shared" si="6"/>
        <v>2021</v>
      </c>
      <c r="C18" s="54">
        <f>'Safety Curr ScheduleOLD'!O21</f>
        <v>181004665.03551391</v>
      </c>
      <c r="D18" s="70">
        <f>'Misc Curr Schd w2016Loss &amp; DC'!Z21</f>
        <v>25</v>
      </c>
      <c r="E18" s="65">
        <f>'Safety Curr ScheduleOLD'!Q21</f>
        <v>13560968.729061749</v>
      </c>
      <c r="F18" s="63">
        <f>'Safety Curr ScheduleOLD'!R21</f>
        <v>633744517.69489074</v>
      </c>
      <c r="G18" s="109">
        <f>'Safety Curr ScheduleOLD'!S21</f>
        <v>0.71438859038358327</v>
      </c>
      <c r="I18" s="54">
        <f t="shared" si="14"/>
        <v>161799610.61382177</v>
      </c>
      <c r="J18" s="63">
        <f t="shared" si="15"/>
        <v>14</v>
      </c>
      <c r="K18" s="56">
        <f t="shared" si="7"/>
        <v>15589550.465515325</v>
      </c>
      <c r="L18" s="56">
        <f t="shared" si="8"/>
        <v>2028581.736453576</v>
      </c>
      <c r="M18" s="63">
        <f t="shared" si="3"/>
        <v>633744517.69489074</v>
      </c>
      <c r="N18" s="111">
        <f t="shared" si="0"/>
        <v>0.74469268593859717</v>
      </c>
      <c r="O18" s="54">
        <f t="shared" si="16"/>
        <v>146828347.07393211</v>
      </c>
      <c r="P18" s="63">
        <f t="shared" si="17"/>
        <v>10</v>
      </c>
      <c r="Q18" s="56">
        <f t="shared" si="9"/>
        <v>18315294.926076308</v>
      </c>
      <c r="R18" s="56">
        <f t="shared" si="10"/>
        <v>4754326.1970145591</v>
      </c>
      <c r="S18" s="63">
        <f t="shared" si="4"/>
        <v>633744517.69489074</v>
      </c>
      <c r="T18" s="111">
        <f t="shared" si="1"/>
        <v>0.7683161858220271</v>
      </c>
      <c r="U18" s="54">
        <f t="shared" si="18"/>
        <v>110537595.35392606</v>
      </c>
      <c r="V18" s="63">
        <f t="shared" si="19"/>
        <v>5</v>
      </c>
      <c r="W18" s="56">
        <f t="shared" si="11"/>
        <v>24922573.944766864</v>
      </c>
      <c r="X18" s="56">
        <f t="shared" si="12"/>
        <v>11361605.215705115</v>
      </c>
      <c r="Y18" s="63">
        <f t="shared" si="5"/>
        <v>633744517.69489074</v>
      </c>
      <c r="Z18" s="109">
        <f t="shared" si="2"/>
        <v>0.82558019475106026</v>
      </c>
      <c r="AA18" s="56"/>
      <c r="AB18" s="56"/>
      <c r="AC18" s="53"/>
    </row>
    <row r="19" spans="1:31" x14ac:dyDescent="0.25">
      <c r="A19" s="49">
        <f t="shared" si="13"/>
        <v>7</v>
      </c>
      <c r="B19" s="49">
        <f t="shared" si="6"/>
        <v>2022</v>
      </c>
      <c r="C19" s="54">
        <f>'Safety Curr ScheduleOLD'!O22</f>
        <v>180519703.27595246</v>
      </c>
      <c r="D19" s="70">
        <f>'Misc Curr Schd w2016Loss &amp; DC'!Z22</f>
        <v>24</v>
      </c>
      <c r="E19" s="65">
        <f>'Safety Curr ScheduleOLD'!Q22</f>
        <v>13967797.790933602</v>
      </c>
      <c r="F19" s="63">
        <f>'Safety Curr ScheduleOLD'!R22</f>
        <v>668156845.00572336</v>
      </c>
      <c r="G19" s="109">
        <f>'Safety Curr ScheduleOLD'!S22</f>
        <v>0.72982435991596228</v>
      </c>
      <c r="I19" s="54">
        <f t="shared" si="14"/>
        <v>157770991.46221334</v>
      </c>
      <c r="J19" s="63">
        <f t="shared" si="15"/>
        <v>13</v>
      </c>
      <c r="K19" s="56">
        <f t="shared" si="7"/>
        <v>16057236.979480786</v>
      </c>
      <c r="L19" s="56">
        <f t="shared" si="8"/>
        <v>2089439.1885471847</v>
      </c>
      <c r="M19" s="63">
        <f t="shared" si="3"/>
        <v>668156845.00572336</v>
      </c>
      <c r="N19" s="111">
        <f t="shared" si="0"/>
        <v>0.76387132356496046</v>
      </c>
      <c r="O19" s="54">
        <f t="shared" si="16"/>
        <v>138850771.1493029</v>
      </c>
      <c r="P19" s="63">
        <f t="shared" si="17"/>
        <v>9</v>
      </c>
      <c r="Q19" s="56">
        <f t="shared" si="9"/>
        <v>18864753.773858592</v>
      </c>
      <c r="R19" s="56">
        <f t="shared" si="10"/>
        <v>4896955.9829249904</v>
      </c>
      <c r="S19" s="63">
        <f t="shared" si="4"/>
        <v>668156845.00572336</v>
      </c>
      <c r="T19" s="111">
        <f t="shared" si="1"/>
        <v>0.79218835788756525</v>
      </c>
      <c r="U19" s="54">
        <f t="shared" si="18"/>
        <v>92987640.356488943</v>
      </c>
      <c r="V19" s="63">
        <f t="shared" si="19"/>
        <v>4</v>
      </c>
      <c r="W19" s="56">
        <f t="shared" si="11"/>
        <v>25670251.163109876</v>
      </c>
      <c r="X19" s="56">
        <f t="shared" si="12"/>
        <v>11702453.372176275</v>
      </c>
      <c r="Y19" s="63">
        <f t="shared" si="5"/>
        <v>668156845.00572336</v>
      </c>
      <c r="Z19" s="109">
        <f t="shared" si="2"/>
        <v>0.8608296224882761</v>
      </c>
      <c r="AA19" s="56"/>
      <c r="AB19" s="56"/>
      <c r="AC19" s="53"/>
    </row>
    <row r="20" spans="1:31" x14ac:dyDescent="0.25">
      <c r="A20" s="49">
        <f t="shared" si="13"/>
        <v>8</v>
      </c>
      <c r="B20" s="49">
        <f t="shared" si="6"/>
        <v>2023</v>
      </c>
      <c r="C20" s="54">
        <f>'Safety Curr ScheduleOLD'!O23</f>
        <v>179576560.03530714</v>
      </c>
      <c r="D20" s="70">
        <f>'Misc Curr Schd w2016Loss &amp; DC'!Z23</f>
        <v>23</v>
      </c>
      <c r="E20" s="65">
        <f>'Safety Curr ScheduleOLD'!Q23</f>
        <v>14386831.724661611</v>
      </c>
      <c r="F20" s="63">
        <f>'Safety Curr ScheduleOLD'!R23</f>
        <v>704437761.68953419</v>
      </c>
      <c r="G20" s="109">
        <f>'Safety Curr ScheduleOLD'!S23</f>
        <v>0.74507817467847259</v>
      </c>
      <c r="I20" s="54">
        <f t="shared" si="14"/>
        <v>152955318.17580491</v>
      </c>
      <c r="J20" s="63">
        <f t="shared" si="15"/>
        <v>12</v>
      </c>
      <c r="K20" s="56">
        <f t="shared" si="7"/>
        <v>16538954.088865208</v>
      </c>
      <c r="L20" s="56">
        <f t="shared" si="8"/>
        <v>2152122.3642035965</v>
      </c>
      <c r="M20" s="63">
        <f t="shared" si="3"/>
        <v>704437761.68953419</v>
      </c>
      <c r="N20" s="111">
        <f t="shared" si="0"/>
        <v>0.78286893960801518</v>
      </c>
      <c r="O20" s="54">
        <f t="shared" si="16"/>
        <v>129705185.97167128</v>
      </c>
      <c r="P20" s="63">
        <f t="shared" si="17"/>
        <v>8</v>
      </c>
      <c r="Q20" s="56">
        <f t="shared" si="9"/>
        <v>19430696.387074355</v>
      </c>
      <c r="R20" s="56">
        <f t="shared" si="10"/>
        <v>5043864.662412744</v>
      </c>
      <c r="S20" s="63">
        <f t="shared" si="4"/>
        <v>704437761.68953419</v>
      </c>
      <c r="T20" s="111">
        <f t="shared" si="1"/>
        <v>0.81587417224683634</v>
      </c>
      <c r="U20" s="54">
        <f t="shared" si="18"/>
        <v>73346230.49477458</v>
      </c>
      <c r="V20" s="63">
        <f t="shared" si="19"/>
        <v>3</v>
      </c>
      <c r="W20" s="56">
        <f t="shared" si="11"/>
        <v>26440358.698003169</v>
      </c>
      <c r="X20" s="56">
        <f t="shared" si="12"/>
        <v>12053526.973341558</v>
      </c>
      <c r="Y20" s="63">
        <f t="shared" si="5"/>
        <v>704437761.68953419</v>
      </c>
      <c r="Z20" s="109">
        <f t="shared" si="2"/>
        <v>0.89587975761143201</v>
      </c>
      <c r="AA20" s="56"/>
      <c r="AB20" s="56"/>
      <c r="AC20" s="53"/>
    </row>
    <row r="21" spans="1:31" x14ac:dyDescent="0.25">
      <c r="A21" s="49">
        <f t="shared" si="13"/>
        <v>9</v>
      </c>
      <c r="B21" s="49">
        <f t="shared" si="6"/>
        <v>2024</v>
      </c>
      <c r="C21" s="54">
        <f>'Safety Curr ScheduleOLD'!O24</f>
        <v>178128217.42202315</v>
      </c>
      <c r="D21" s="70">
        <f>'Misc Curr Schd w2016Loss &amp; DC'!Z24</f>
        <v>22</v>
      </c>
      <c r="E21" s="65">
        <f>'Safety Curr ScheduleOLD'!Q24</f>
        <v>14818436.676401462</v>
      </c>
      <c r="F21" s="63">
        <f>'Safety Curr ScheduleOLD'!R24</f>
        <v>742688732.1492759</v>
      </c>
      <c r="G21" s="109">
        <f>'Safety Curr ScheduleOLD'!S24</f>
        <v>0.76015764113380879</v>
      </c>
      <c r="I21" s="54">
        <f t="shared" si="14"/>
        <v>147279014.46353364</v>
      </c>
      <c r="J21" s="63">
        <f t="shared" si="15"/>
        <v>11</v>
      </c>
      <c r="K21" s="56">
        <f t="shared" si="7"/>
        <v>17035122.711531166</v>
      </c>
      <c r="L21" s="56">
        <f t="shared" si="8"/>
        <v>2216686.0351297036</v>
      </c>
      <c r="M21" s="63">
        <f t="shared" si="3"/>
        <v>742688732.1492759</v>
      </c>
      <c r="N21" s="111">
        <f t="shared" si="0"/>
        <v>0.80169483110734541</v>
      </c>
      <c r="O21" s="54">
        <f t="shared" si="16"/>
        <v>119286900.11530243</v>
      </c>
      <c r="P21" s="63">
        <f t="shared" si="17"/>
        <v>7</v>
      </c>
      <c r="Q21" s="56">
        <f t="shared" si="9"/>
        <v>20013617.278686583</v>
      </c>
      <c r="R21" s="56">
        <f t="shared" si="10"/>
        <v>5195180.6022851206</v>
      </c>
      <c r="S21" s="63">
        <f t="shared" si="4"/>
        <v>742688732.1492759</v>
      </c>
      <c r="T21" s="111">
        <f t="shared" si="1"/>
        <v>0.83938506812928659</v>
      </c>
      <c r="U21" s="54">
        <f t="shared" si="18"/>
        <v>51433250.406778112</v>
      </c>
      <c r="V21" s="63">
        <f t="shared" si="19"/>
        <v>2</v>
      </c>
      <c r="W21" s="56">
        <f t="shared" si="11"/>
        <v>27233569.458943259</v>
      </c>
      <c r="X21" s="56">
        <f t="shared" si="12"/>
        <v>12415132.782541797</v>
      </c>
      <c r="Y21" s="63">
        <f t="shared" si="5"/>
        <v>742688732.1492759</v>
      </c>
      <c r="Z21" s="109">
        <f t="shared" si="2"/>
        <v>0.93074723207670762</v>
      </c>
      <c r="AA21" s="56"/>
      <c r="AB21" s="56"/>
      <c r="AC21" s="53"/>
    </row>
    <row r="22" spans="1:31" x14ac:dyDescent="0.25">
      <c r="A22" s="49">
        <f t="shared" si="13"/>
        <v>10</v>
      </c>
      <c r="B22" s="49">
        <f t="shared" si="6"/>
        <v>2025</v>
      </c>
      <c r="C22" s="54">
        <f>'Safety Curr ScheduleOLD'!O25</f>
        <v>176123751.57426491</v>
      </c>
      <c r="D22" s="70">
        <f>'Misc Curr Schd w2016Loss &amp; DC'!Z25</f>
        <v>21</v>
      </c>
      <c r="E22" s="65">
        <f>'Safety Curr ScheduleOLD'!Q25</f>
        <v>15262989.776693506</v>
      </c>
      <c r="F22" s="63">
        <f>'Safety Curr ScheduleOLD'!R25</f>
        <v>783016730.30498159</v>
      </c>
      <c r="G22" s="109">
        <f>'Safety Curr ScheduleOLD'!S25</f>
        <v>0.77507025743158076</v>
      </c>
      <c r="I22" s="54">
        <f t="shared" si="14"/>
        <v>140662549.39557829</v>
      </c>
      <c r="J22" s="63">
        <f t="shared" si="15"/>
        <v>10</v>
      </c>
      <c r="K22" s="56">
        <f t="shared" si="7"/>
        <v>17546176.392877102</v>
      </c>
      <c r="L22" s="56">
        <f t="shared" si="8"/>
        <v>2283186.6161835957</v>
      </c>
      <c r="M22" s="63">
        <f t="shared" si="3"/>
        <v>783016730.30498159</v>
      </c>
      <c r="N22" s="111">
        <f t="shared" si="0"/>
        <v>0.82035818143912353</v>
      </c>
      <c r="O22" s="54">
        <f t="shared" si="16"/>
        <v>107482857.57557857</v>
      </c>
      <c r="P22" s="63">
        <f t="shared" si="17"/>
        <v>6</v>
      </c>
      <c r="Q22" s="56">
        <f t="shared" si="9"/>
        <v>20614025.797047179</v>
      </c>
      <c r="R22" s="56">
        <f t="shared" si="10"/>
        <v>5351036.020353673</v>
      </c>
      <c r="S22" s="63">
        <f t="shared" si="4"/>
        <v>783016730.30498159</v>
      </c>
      <c r="T22" s="111">
        <f t="shared" si="1"/>
        <v>0.86273236137149401</v>
      </c>
      <c r="U22" s="54">
        <f t="shared" si="18"/>
        <v>27054378.390928775</v>
      </c>
      <c r="V22" s="63">
        <f t="shared" si="19"/>
        <v>1</v>
      </c>
      <c r="W22" s="56">
        <f t="shared" si="11"/>
        <v>28050576.542711556</v>
      </c>
      <c r="X22" s="56">
        <f t="shared" si="12"/>
        <v>12787586.76601805</v>
      </c>
      <c r="Y22" s="63">
        <f t="shared" si="5"/>
        <v>783016730.30498159</v>
      </c>
      <c r="Z22" s="109">
        <f t="shared" si="2"/>
        <v>0.96544853086294702</v>
      </c>
      <c r="AA22" s="56"/>
      <c r="AB22" s="56"/>
      <c r="AC22" s="53"/>
    </row>
    <row r="23" spans="1:31" x14ac:dyDescent="0.25">
      <c r="A23" s="49">
        <f t="shared" si="13"/>
        <v>11</v>
      </c>
      <c r="B23" s="49">
        <f t="shared" si="6"/>
        <v>2026</v>
      </c>
      <c r="C23" s="54">
        <f>'Safety Curr ScheduleOLD'!O26</f>
        <v>173508028.32329249</v>
      </c>
      <c r="D23" s="70">
        <f>'Misc Curr Schd w2016Loss &amp; DC'!Z26</f>
        <v>20</v>
      </c>
      <c r="E23" s="65">
        <f>'Safety Curr ScheduleOLD'!Q26</f>
        <v>15720879.46999431</v>
      </c>
      <c r="F23" s="63">
        <f>'Safety Curr ScheduleOLD'!R26</f>
        <v>825534538.76054215</v>
      </c>
      <c r="G23" s="109">
        <f>'Safety Curr ScheduleOLD'!S26</f>
        <v>0.78982341722031701</v>
      </c>
      <c r="I23" s="54">
        <f t="shared" si="14"/>
        <v>133019977.7129447</v>
      </c>
      <c r="J23" s="63">
        <f t="shared" si="15"/>
        <v>9</v>
      </c>
      <c r="K23" s="56">
        <f t="shared" si="7"/>
        <v>18072561.684663408</v>
      </c>
      <c r="L23" s="56">
        <f t="shared" si="8"/>
        <v>2351682.2146690972</v>
      </c>
      <c r="M23" s="63">
        <f t="shared" si="3"/>
        <v>825534538.76054215</v>
      </c>
      <c r="N23" s="111">
        <f t="shared" si="0"/>
        <v>0.83886806491141974</v>
      </c>
      <c r="O23" s="54">
        <f t="shared" si="16"/>
        <v>94170995.043924272</v>
      </c>
      <c r="P23" s="63">
        <f t="shared" si="17"/>
        <v>5</v>
      </c>
      <c r="Q23" s="56">
        <f t="shared" si="9"/>
        <v>21232446.570958599</v>
      </c>
      <c r="R23" s="56">
        <f t="shared" si="10"/>
        <v>5511567.1009642892</v>
      </c>
      <c r="S23" s="63">
        <f t="shared" si="4"/>
        <v>825534538.76054215</v>
      </c>
      <c r="T23" s="111">
        <f t="shared" si="1"/>
        <v>0.88592725001510819</v>
      </c>
      <c r="U23" s="54">
        <f t="shared" si="18"/>
        <v>0</v>
      </c>
      <c r="V23" s="63">
        <f t="shared" si="19"/>
        <v>0</v>
      </c>
      <c r="W23" s="56">
        <v>0</v>
      </c>
      <c r="X23" s="56">
        <f t="shared" si="12"/>
        <v>-15720879.46999431</v>
      </c>
      <c r="Y23" s="63">
        <f t="shared" si="5"/>
        <v>825534538.76054215</v>
      </c>
      <c r="Z23" s="109">
        <f t="shared" si="2"/>
        <v>1</v>
      </c>
      <c r="AA23" s="56"/>
      <c r="AB23" s="56"/>
      <c r="AC23" s="53"/>
    </row>
    <row r="24" spans="1:31" x14ac:dyDescent="0.25">
      <c r="A24" s="49">
        <f t="shared" si="13"/>
        <v>12</v>
      </c>
      <c r="B24" s="49">
        <f t="shared" si="6"/>
        <v>2027</v>
      </c>
      <c r="C24" s="54">
        <f>'Safety Curr ScheduleOLD'!O27</f>
        <v>170221375.68992591</v>
      </c>
      <c r="D24" s="70">
        <f>'Misc Curr Schd w2016Loss &amp; DC'!Z27</f>
        <v>19</v>
      </c>
      <c r="E24" s="65">
        <f>'Safety Curr ScheduleOLD'!Q27</f>
        <v>16192505.854094142</v>
      </c>
      <c r="F24" s="63">
        <f>'Safety Curr ScheduleOLD'!R27</f>
        <v>870361064.21523964</v>
      </c>
      <c r="G24" s="109">
        <f>'Safety Curr ScheduleOLD'!S27</f>
        <v>0.80442441339743764</v>
      </c>
      <c r="I24" s="54">
        <f t="shared" si="14"/>
        <v>124258445.26749453</v>
      </c>
      <c r="J24" s="63">
        <f t="shared" si="15"/>
        <v>8</v>
      </c>
      <c r="K24" s="56">
        <f t="shared" si="7"/>
        <v>18614738.535203315</v>
      </c>
      <c r="L24" s="56">
        <f t="shared" si="8"/>
        <v>2422232.6811091732</v>
      </c>
      <c r="M24" s="63">
        <f t="shared" si="3"/>
        <v>870361064.21523964</v>
      </c>
      <c r="N24" s="111">
        <f t="shared" si="0"/>
        <v>0.85723345129238737</v>
      </c>
      <c r="O24" s="54">
        <f t="shared" si="16"/>
        <v>79219550.516901225</v>
      </c>
      <c r="P24" s="63">
        <f t="shared" si="17"/>
        <v>4</v>
      </c>
      <c r="Q24" s="56">
        <f t="shared" si="9"/>
        <v>21869419.968087353</v>
      </c>
      <c r="R24" s="56">
        <f t="shared" si="10"/>
        <v>5676914.1139932107</v>
      </c>
      <c r="S24" s="63">
        <f t="shared" si="4"/>
        <v>870361064.21523964</v>
      </c>
      <c r="T24" s="111">
        <f t="shared" si="1"/>
        <v>0.90898081982983747</v>
      </c>
      <c r="U24" s="54"/>
      <c r="V24" s="63"/>
      <c r="W24" s="56"/>
      <c r="X24" s="56">
        <f t="shared" si="12"/>
        <v>-16192505.854094142</v>
      </c>
      <c r="Y24" s="63"/>
      <c r="Z24" s="109"/>
      <c r="AA24" s="56"/>
      <c r="AB24" s="56"/>
      <c r="AC24" s="53"/>
    </row>
    <row r="25" spans="1:31" s="50" customFormat="1" x14ac:dyDescent="0.25">
      <c r="A25" s="49">
        <f t="shared" si="13"/>
        <v>13</v>
      </c>
      <c r="B25" s="49">
        <f t="shared" si="6"/>
        <v>2028</v>
      </c>
      <c r="C25" s="54">
        <f>'Safety Curr ScheduleOLD'!O28</f>
        <v>166199231.46632838</v>
      </c>
      <c r="D25" s="70">
        <f>'Misc Curr Schd w2016Loss &amp; DC'!Z28</f>
        <v>18</v>
      </c>
      <c r="E25" s="65">
        <f>'Safety Curr ScheduleOLD'!Q28</f>
        <v>16678281.029716961</v>
      </c>
      <c r="F25" s="63">
        <f>'Safety Curr ScheduleOLD'!R28</f>
        <v>917621670.00212717</v>
      </c>
      <c r="G25" s="109">
        <f>'Safety Curr ScheduleOLD'!S28</f>
        <v>0.81888044179913155</v>
      </c>
      <c r="H25" s="49"/>
      <c r="I25" s="54">
        <f t="shared" si="14"/>
        <v>114277656.96541797</v>
      </c>
      <c r="J25" s="63">
        <f t="shared" si="15"/>
        <v>7</v>
      </c>
      <c r="K25" s="56">
        <f t="shared" si="7"/>
        <v>19173180.691259418</v>
      </c>
      <c r="L25" s="56">
        <f t="shared" si="8"/>
        <v>2494899.6615424566</v>
      </c>
      <c r="M25" s="63">
        <f t="shared" si="3"/>
        <v>917621670.00212717</v>
      </c>
      <c r="N25" s="111">
        <f t="shared" si="0"/>
        <v>0.87546321027362717</v>
      </c>
      <c r="O25" s="54">
        <f t="shared" si="16"/>
        <v>62486319.575691938</v>
      </c>
      <c r="P25" s="63">
        <f t="shared" si="17"/>
        <v>3</v>
      </c>
      <c r="Q25" s="56">
        <f t="shared" si="9"/>
        <v>22525502.567129981</v>
      </c>
      <c r="R25" s="56">
        <f t="shared" si="10"/>
        <v>5847221.5374130197</v>
      </c>
      <c r="S25" s="63">
        <f t="shared" si="4"/>
        <v>917621670.00212717</v>
      </c>
      <c r="T25" s="111">
        <f t="shared" si="1"/>
        <v>0.93190404976427044</v>
      </c>
      <c r="U25" s="54"/>
      <c r="V25" s="63"/>
      <c r="W25" s="56"/>
      <c r="X25" s="56">
        <f t="shared" si="12"/>
        <v>-16678281.029716961</v>
      </c>
      <c r="Y25" s="63"/>
      <c r="Z25" s="109"/>
      <c r="AA25" s="56"/>
      <c r="AB25" s="56"/>
      <c r="AC25" s="53"/>
      <c r="AD25" s="73"/>
      <c r="AE25" s="49"/>
    </row>
    <row r="26" spans="1:31" s="50" customFormat="1" x14ac:dyDescent="0.25">
      <c r="A26" s="49">
        <f t="shared" si="13"/>
        <v>14</v>
      </c>
      <c r="B26" s="49">
        <f t="shared" si="6"/>
        <v>2029</v>
      </c>
      <c r="C26" s="54">
        <f>'Safety Curr ScheduleOLD'!O29</f>
        <v>161371764.0039508</v>
      </c>
      <c r="D26" s="70">
        <f>'Misc Curr Schd w2016Loss &amp; DC'!Z29</f>
        <v>17</v>
      </c>
      <c r="E26" s="65">
        <f>'Safety Curr ScheduleOLD'!Q29</f>
        <v>17178629.460608471</v>
      </c>
      <c r="F26" s="63">
        <f>'Safety Curr ScheduleOLD'!R29</f>
        <v>967448526.68324268</v>
      </c>
      <c r="G26" s="109">
        <f>'Safety Curr ScheduleOLD'!S29</f>
        <v>0.83319860483204145</v>
      </c>
      <c r="H26" s="49"/>
      <c r="I26" s="54">
        <f t="shared" si="14"/>
        <v>102969304.38977149</v>
      </c>
      <c r="J26" s="63">
        <f t="shared" si="15"/>
        <v>6</v>
      </c>
      <c r="K26" s="56">
        <f t="shared" si="7"/>
        <v>19748376.111997195</v>
      </c>
      <c r="L26" s="56">
        <f t="shared" si="8"/>
        <v>2569746.6513887234</v>
      </c>
      <c r="M26" s="63">
        <f t="shared" si="3"/>
        <v>967448526.68324268</v>
      </c>
      <c r="N26" s="111">
        <f t="shared" si="0"/>
        <v>0.89356611587100476</v>
      </c>
      <c r="O26" s="54">
        <f t="shared" si="16"/>
        <v>43817855.396992639</v>
      </c>
      <c r="P26" s="63">
        <f t="shared" si="17"/>
        <v>2</v>
      </c>
      <c r="Q26" s="56">
        <f t="shared" si="9"/>
        <v>23201267.644143876</v>
      </c>
      <c r="R26" s="56">
        <f t="shared" si="10"/>
        <v>6022638.1835354045</v>
      </c>
      <c r="S26" s="63">
        <f t="shared" si="4"/>
        <v>967448526.68324268</v>
      </c>
      <c r="T26" s="111">
        <f t="shared" si="1"/>
        <v>0.9547078173272785</v>
      </c>
      <c r="U26" s="54"/>
      <c r="V26" s="63"/>
      <c r="W26" s="56"/>
      <c r="X26" s="56">
        <f t="shared" si="12"/>
        <v>-17178629.460608471</v>
      </c>
      <c r="Y26" s="63"/>
      <c r="Z26" s="109"/>
      <c r="AA26" s="56"/>
      <c r="AB26" s="56"/>
      <c r="AC26" s="53"/>
      <c r="AD26" s="73"/>
      <c r="AE26" s="49"/>
    </row>
    <row r="27" spans="1:31" s="50" customFormat="1" x14ac:dyDescent="0.25">
      <c r="A27" s="49">
        <f t="shared" si="13"/>
        <v>15</v>
      </c>
      <c r="B27" s="49">
        <f t="shared" si="6"/>
        <v>2030</v>
      </c>
      <c r="C27" s="54">
        <f>'Safety Curr ScheduleOLD'!O30</f>
        <v>155663464.18722433</v>
      </c>
      <c r="D27" s="70">
        <f>'Misc Curr Schd w2016Loss &amp; DC'!Z30</f>
        <v>16</v>
      </c>
      <c r="E27" s="65">
        <f>'Safety Curr ScheduleOLD'!Q30</f>
        <v>17693988.344426725</v>
      </c>
      <c r="F27" s="63">
        <f>'Safety Curr ScheduleOLD'!R30</f>
        <v>1019980981.6821427</v>
      </c>
      <c r="G27" s="109">
        <f>'Safety Curr ScheduleOLD'!S30</f>
        <v>0.84738591504862604</v>
      </c>
      <c r="H27" s="49"/>
      <c r="I27" s="54">
        <f t="shared" si="14"/>
        <v>90216450.065509945</v>
      </c>
      <c r="J27" s="63">
        <f t="shared" si="15"/>
        <v>5</v>
      </c>
      <c r="K27" s="56">
        <f t="shared" si="7"/>
        <v>20340827.395357121</v>
      </c>
      <c r="L27" s="56">
        <f t="shared" si="8"/>
        <v>2646839.0509303957</v>
      </c>
      <c r="M27" s="63">
        <f t="shared" si="3"/>
        <v>1019980981.6821427</v>
      </c>
      <c r="N27" s="111">
        <f t="shared" si="0"/>
        <v>0.91155085076515263</v>
      </c>
      <c r="O27" s="54">
        <f t="shared" si="16"/>
        <v>23048608.26048461</v>
      </c>
      <c r="P27" s="63">
        <f t="shared" si="17"/>
        <v>1</v>
      </c>
      <c r="Q27" s="56">
        <f t="shared" si="9"/>
        <v>23897305.673468191</v>
      </c>
      <c r="R27" s="56">
        <f t="shared" si="10"/>
        <v>6203317.3290414661</v>
      </c>
      <c r="S27" s="63">
        <f t="shared" si="4"/>
        <v>1019980981.6821427</v>
      </c>
      <c r="T27" s="111">
        <f t="shared" si="1"/>
        <v>0.97740290390270512</v>
      </c>
      <c r="U27" s="54"/>
      <c r="V27" s="63"/>
      <c r="W27" s="56"/>
      <c r="X27" s="56">
        <f t="shared" si="12"/>
        <v>-17693988.344426725</v>
      </c>
      <c r="Y27" s="63"/>
      <c r="Z27" s="109"/>
      <c r="AA27" s="56"/>
      <c r="AB27" s="56"/>
      <c r="AC27" s="53"/>
      <c r="AD27" s="73"/>
      <c r="AE27" s="49"/>
    </row>
    <row r="28" spans="1:31" s="50" customFormat="1" x14ac:dyDescent="0.25">
      <c r="A28" s="49">
        <f t="shared" si="13"/>
        <v>16</v>
      </c>
      <c r="B28" s="49">
        <f t="shared" si="6"/>
        <v>2031</v>
      </c>
      <c r="C28" s="54">
        <f>'Safety Curr ScheduleOLD'!O31</f>
        <v>148992706.42073271</v>
      </c>
      <c r="D28" s="70">
        <f>'Misc Curr Schd w2016Loss &amp; DC'!Z31</f>
        <v>15</v>
      </c>
      <c r="E28" s="65">
        <f>'Safety Curr ScheduleOLD'!Q31</f>
        <v>18224807.994759522</v>
      </c>
      <c r="F28" s="63">
        <f>'Safety Curr ScheduleOLD'!R31</f>
        <v>1075365948.987483</v>
      </c>
      <c r="G28" s="109">
        <f>'Safety Curr ScheduleOLD'!S31</f>
        <v>0.86144929866803233</v>
      </c>
      <c r="H28" s="49"/>
      <c r="I28" s="54">
        <f t="shared" si="14"/>
        <v>75892865.102323949</v>
      </c>
      <c r="J28" s="63">
        <f t="shared" si="15"/>
        <v>4</v>
      </c>
      <c r="K28" s="56">
        <f t="shared" si="7"/>
        <v>20951052.217217829</v>
      </c>
      <c r="L28" s="56">
        <f t="shared" si="8"/>
        <v>2726244.2224583067</v>
      </c>
      <c r="M28" s="63">
        <f t="shared" si="3"/>
        <v>1075365948.987483</v>
      </c>
      <c r="N28" s="111">
        <f t="shared" si="0"/>
        <v>0.92942601058385621</v>
      </c>
      <c r="O28" s="54">
        <f t="shared" si="16"/>
        <v>0</v>
      </c>
      <c r="P28" s="63">
        <f t="shared" si="17"/>
        <v>0</v>
      </c>
      <c r="Q28" s="56">
        <v>0</v>
      </c>
      <c r="R28" s="56">
        <f t="shared" si="10"/>
        <v>-18224807.994759522</v>
      </c>
      <c r="S28" s="63">
        <f t="shared" si="4"/>
        <v>1075365948.987483</v>
      </c>
      <c r="T28" s="111">
        <f t="shared" si="1"/>
        <v>1</v>
      </c>
      <c r="U28" s="54"/>
      <c r="V28" s="63"/>
      <c r="W28" s="56"/>
      <c r="X28" s="56">
        <f t="shared" si="12"/>
        <v>-18224807.994759522</v>
      </c>
      <c r="Y28" s="63"/>
      <c r="Z28" s="109"/>
      <c r="AA28" s="56"/>
      <c r="AB28" s="56"/>
      <c r="AC28" s="53"/>
      <c r="AD28" s="73"/>
      <c r="AE28" s="49"/>
    </row>
    <row r="29" spans="1:31" s="50" customFormat="1" x14ac:dyDescent="0.25">
      <c r="A29" s="49">
        <f t="shared" si="13"/>
        <v>17</v>
      </c>
      <c r="B29" s="49">
        <f t="shared" si="6"/>
        <v>2032</v>
      </c>
      <c r="C29" s="54">
        <f>'Safety Curr ScheduleOLD'!O32</f>
        <v>141271276.29433817</v>
      </c>
      <c r="D29" s="70">
        <f>'Misc Curr Schd w2016Loss &amp; DC'!Z32</f>
        <v>14</v>
      </c>
      <c r="E29" s="65">
        <f>'Safety Curr ScheduleOLD'!Q32</f>
        <v>18771552.23460231</v>
      </c>
      <c r="F29" s="63">
        <f>'Safety Curr ScheduleOLD'!R32</f>
        <v>1133758320.0175033</v>
      </c>
      <c r="G29" s="109">
        <f>'Safety Curr ScheduleOLD'!S32</f>
        <v>0.87539559904428554</v>
      </c>
      <c r="H29" s="49"/>
      <c r="I29" s="54">
        <f t="shared" si="14"/>
        <v>59862316.705356032</v>
      </c>
      <c r="J29" s="63">
        <f t="shared" si="15"/>
        <v>3</v>
      </c>
      <c r="K29" s="56">
        <f t="shared" si="7"/>
        <v>21579583.783734366</v>
      </c>
      <c r="L29" s="56">
        <f t="shared" si="8"/>
        <v>2808031.5491320565</v>
      </c>
      <c r="M29" s="63">
        <f t="shared" si="3"/>
        <v>1133758320.0175033</v>
      </c>
      <c r="N29" s="111">
        <f t="shared" si="0"/>
        <v>0.94720010812848376</v>
      </c>
      <c r="O29" s="54"/>
      <c r="P29" s="63"/>
      <c r="Q29" s="56"/>
      <c r="R29" s="56">
        <f t="shared" si="10"/>
        <v>-18771552.23460231</v>
      </c>
      <c r="S29" s="63"/>
      <c r="T29" s="111"/>
      <c r="U29" s="54"/>
      <c r="V29" s="63"/>
      <c r="W29" s="56"/>
      <c r="X29" s="56">
        <f t="shared" si="12"/>
        <v>-18771552.23460231</v>
      </c>
      <c r="Y29" s="63"/>
      <c r="Z29" s="109"/>
      <c r="AA29" s="56"/>
      <c r="AB29" s="56"/>
      <c r="AC29" s="53"/>
      <c r="AD29" s="73"/>
      <c r="AE29" s="49"/>
    </row>
    <row r="30" spans="1:31" s="50" customFormat="1" x14ac:dyDescent="0.25">
      <c r="A30" s="49">
        <f t="shared" si="13"/>
        <v>18</v>
      </c>
      <c r="B30" s="49">
        <f t="shared" si="6"/>
        <v>2033</v>
      </c>
      <c r="C30" s="54">
        <f>'Safety Curr ScheduleOLD'!O33</f>
        <v>132403862.4152256</v>
      </c>
      <c r="D30" s="70">
        <f>'Misc Curr Schd w2016Loss &amp; DC'!Z33</f>
        <v>13</v>
      </c>
      <c r="E30" s="65">
        <f>'Safety Curr ScheduleOLD'!Q33</f>
        <v>19334698.801640376</v>
      </c>
      <c r="F30" s="63">
        <f>'Safety Curr ScheduleOLD'!R33</f>
        <v>1195321396.7944536</v>
      </c>
      <c r="G30" s="109">
        <f>'Safety Curr ScheduleOLD'!S33</f>
        <v>0.88923158008356673</v>
      </c>
      <c r="H30" s="49"/>
      <c r="I30" s="54">
        <f t="shared" si="14"/>
        <v>41977801.78022626</v>
      </c>
      <c r="J30" s="63">
        <f t="shared" si="15"/>
        <v>2</v>
      </c>
      <c r="K30" s="56">
        <f t="shared" si="7"/>
        <v>22226971.2972464</v>
      </c>
      <c r="L30" s="56">
        <f t="shared" si="8"/>
        <v>2892272.4956060238</v>
      </c>
      <c r="M30" s="63">
        <f t="shared" si="3"/>
        <v>1195321396.7944536</v>
      </c>
      <c r="N30" s="111">
        <f t="shared" si="0"/>
        <v>0.96488157754659132</v>
      </c>
      <c r="O30" s="54"/>
      <c r="P30" s="63"/>
      <c r="Q30" s="56"/>
      <c r="R30" s="56">
        <f t="shared" si="10"/>
        <v>-19334698.801640376</v>
      </c>
      <c r="S30" s="63"/>
      <c r="T30" s="111"/>
      <c r="U30" s="54"/>
      <c r="V30" s="63"/>
      <c r="W30" s="56"/>
      <c r="X30" s="56">
        <f t="shared" si="12"/>
        <v>-19334698.801640376</v>
      </c>
      <c r="Y30" s="63"/>
      <c r="Z30" s="109"/>
      <c r="AA30" s="56"/>
      <c r="AB30" s="56"/>
      <c r="AC30" s="53"/>
      <c r="AD30" s="73"/>
      <c r="AE30" s="49"/>
    </row>
    <row r="31" spans="1:31" s="50" customFormat="1" x14ac:dyDescent="0.25">
      <c r="A31" s="49">
        <f t="shared" si="13"/>
        <v>19</v>
      </c>
      <c r="B31" s="49">
        <f t="shared" si="6"/>
        <v>2034</v>
      </c>
      <c r="C31" s="54">
        <f>'Safety Curr ScheduleOLD'!O34</f>
        <v>122287509.70714393</v>
      </c>
      <c r="D31" s="70">
        <f>'Misc Curr Schd w2016Loss &amp; DC'!Z34</f>
        <v>12</v>
      </c>
      <c r="E31" s="65">
        <f>'Safety Curr ScheduleOLD'!Q34</f>
        <v>19914739.765689589</v>
      </c>
      <c r="F31" s="63">
        <f>'Safety Curr ScheduleOLD'!R34</f>
        <v>1260227348.6403925</v>
      </c>
      <c r="G31" s="109">
        <f>'Safety Curr ScheduleOLD'!S34</f>
        <v>0.90296392961232352</v>
      </c>
      <c r="H31" s="49"/>
      <c r="I31" s="54">
        <f t="shared" si="14"/>
        <v>22080722.575370803</v>
      </c>
      <c r="J31" s="63">
        <f t="shared" si="15"/>
        <v>1</v>
      </c>
      <c r="K31" s="56">
        <f t="shared" si="7"/>
        <v>22893780.436163802</v>
      </c>
      <c r="L31" s="56">
        <f t="shared" si="8"/>
        <v>2979040.6704742126</v>
      </c>
      <c r="M31" s="63">
        <f t="shared" si="3"/>
        <v>1260227348.6403925</v>
      </c>
      <c r="N31" s="111">
        <f t="shared" si="0"/>
        <v>0.98247877845279841</v>
      </c>
      <c r="O31" s="54"/>
      <c r="P31" s="63"/>
      <c r="Q31" s="56"/>
      <c r="R31" s="56">
        <f t="shared" si="10"/>
        <v>-19914739.765689589</v>
      </c>
      <c r="S31" s="63"/>
      <c r="T31" s="111"/>
      <c r="U31" s="54"/>
      <c r="V31" s="63"/>
      <c r="W31" s="56"/>
      <c r="X31" s="56">
        <f t="shared" si="12"/>
        <v>-19914739.765689589</v>
      </c>
      <c r="Y31" s="63"/>
      <c r="Z31" s="109"/>
      <c r="AA31" s="56"/>
      <c r="AB31" s="56"/>
      <c r="AC31" s="53"/>
      <c r="AD31" s="73"/>
      <c r="AE31" s="49"/>
    </row>
    <row r="32" spans="1:31" s="50" customFormat="1" x14ac:dyDescent="0.25">
      <c r="A32" s="49">
        <f t="shared" si="13"/>
        <v>20</v>
      </c>
      <c r="B32" s="49">
        <f t="shared" si="6"/>
        <v>2035</v>
      </c>
      <c r="C32" s="54">
        <f>'Safety Curr ScheduleOLD'!O35</f>
        <v>110811031.27427945</v>
      </c>
      <c r="D32" s="70">
        <f>'Misc Curr Schd w2016Loss &amp; DC'!Z35</f>
        <v>11</v>
      </c>
      <c r="E32" s="65">
        <f>'Safety Curr ScheduleOLD'!Q35</f>
        <v>20512181.958660282</v>
      </c>
      <c r="F32" s="63">
        <f>'Safety Curr ScheduleOLD'!R35</f>
        <v>1328657693.6715658</v>
      </c>
      <c r="G32" s="109">
        <f>'Safety Curr ScheduleOLD'!S35</f>
        <v>0.9165992626979278</v>
      </c>
      <c r="H32" s="49"/>
      <c r="I32" s="54">
        <f t="shared" si="14"/>
        <v>0</v>
      </c>
      <c r="J32" s="63">
        <f t="shared" si="15"/>
        <v>0</v>
      </c>
      <c r="K32" s="72">
        <v>0</v>
      </c>
      <c r="L32" s="56">
        <f t="shared" si="8"/>
        <v>-20512181.958660282</v>
      </c>
      <c r="M32" s="63">
        <f t="shared" si="3"/>
        <v>1328657693.6715658</v>
      </c>
      <c r="N32" s="111">
        <f t="shared" si="0"/>
        <v>1</v>
      </c>
      <c r="O32" s="54"/>
      <c r="P32" s="63"/>
      <c r="Q32" s="56"/>
      <c r="R32" s="56">
        <f t="shared" si="10"/>
        <v>-20512181.958660282</v>
      </c>
      <c r="S32" s="63"/>
      <c r="T32" s="111"/>
      <c r="U32" s="54"/>
      <c r="V32" s="63"/>
      <c r="W32" s="56"/>
      <c r="X32" s="56">
        <f t="shared" si="12"/>
        <v>-20512181.958660282</v>
      </c>
      <c r="Y32" s="63"/>
      <c r="Z32" s="109"/>
      <c r="AA32" s="56"/>
      <c r="AB32" s="56"/>
      <c r="AC32" s="53"/>
      <c r="AD32" s="73"/>
      <c r="AE32" s="49"/>
    </row>
    <row r="33" spans="1:31" s="50" customFormat="1" x14ac:dyDescent="0.25">
      <c r="A33" s="49">
        <f t="shared" si="13"/>
        <v>21</v>
      </c>
      <c r="B33" s="49">
        <f t="shared" si="6"/>
        <v>2036</v>
      </c>
      <c r="C33" s="54">
        <f>'Safety Curr ScheduleOLD'!O36</f>
        <v>97854375.709123105</v>
      </c>
      <c r="D33" s="70">
        <f>'Misc Curr Schd w2016Loss &amp; DC'!Z36</f>
        <v>10</v>
      </c>
      <c r="E33" s="65">
        <f>'Safety Curr ScheduleOLD'!Q36</f>
        <v>21127547.417420082</v>
      </c>
      <c r="F33" s="63">
        <f>'Safety Curr ScheduleOLD'!R36</f>
        <v>1400803806.4379318</v>
      </c>
      <c r="G33" s="109">
        <f>'Safety Curr ScheduleOLD'!S36</f>
        <v>0.9301441249235648</v>
      </c>
      <c r="H33" s="49"/>
      <c r="I33" s="54"/>
      <c r="J33" s="63"/>
      <c r="K33" s="56"/>
      <c r="L33" s="56">
        <f t="shared" si="8"/>
        <v>-21127547.417420082</v>
      </c>
      <c r="M33" s="63"/>
      <c r="N33" s="55"/>
      <c r="O33" s="54"/>
      <c r="P33" s="63"/>
      <c r="Q33" s="56"/>
      <c r="R33" s="56">
        <f t="shared" si="10"/>
        <v>-21127547.417420082</v>
      </c>
      <c r="S33" s="63">
        <f>M33</f>
        <v>0</v>
      </c>
      <c r="T33" s="55"/>
      <c r="U33" s="54"/>
      <c r="V33" s="63"/>
      <c r="W33" s="56"/>
      <c r="X33" s="56">
        <f t="shared" si="12"/>
        <v>-21127547.417420082</v>
      </c>
      <c r="Y33" s="56"/>
      <c r="Z33" s="55"/>
      <c r="AA33" s="56"/>
      <c r="AB33" s="56"/>
      <c r="AC33" s="53"/>
      <c r="AD33" s="73"/>
      <c r="AE33" s="49"/>
    </row>
    <row r="34" spans="1:31" s="50" customFormat="1" x14ac:dyDescent="0.25">
      <c r="A34" s="49">
        <f t="shared" si="13"/>
        <v>22</v>
      </c>
      <c r="B34" s="49">
        <f t="shared" si="6"/>
        <v>2037</v>
      </c>
      <c r="C34" s="54">
        <f>'Safety Curr ScheduleOLD'!O37</f>
        <v>83287946.48925823</v>
      </c>
      <c r="D34" s="70">
        <f>'Misc Curr Schd w2016Loss &amp; DC'!Z37</f>
        <v>9</v>
      </c>
      <c r="E34" s="65">
        <f>'Safety Curr ScheduleOLD'!Q37</f>
        <v>21761373.839942686</v>
      </c>
      <c r="F34" s="63">
        <f>'Safety Curr ScheduleOLD'!R37</f>
        <v>1476867453.1275115</v>
      </c>
      <c r="G34" s="109">
        <f>'Safety Curr ScheduleOLD'!S37</f>
        <v>0.94360499561901623</v>
      </c>
      <c r="H34" s="49"/>
      <c r="I34" s="54"/>
      <c r="J34" s="63"/>
      <c r="K34" s="56"/>
      <c r="L34" s="56">
        <f t="shared" si="8"/>
        <v>-21761373.839942686</v>
      </c>
      <c r="M34" s="63"/>
      <c r="N34" s="55"/>
      <c r="O34" s="54"/>
      <c r="P34" s="63"/>
      <c r="Q34" s="56"/>
      <c r="R34" s="56">
        <f t="shared" si="10"/>
        <v>-21761373.839942686</v>
      </c>
      <c r="S34" s="56"/>
      <c r="T34" s="55"/>
      <c r="U34" s="54"/>
      <c r="V34" s="63"/>
      <c r="W34" s="56"/>
      <c r="X34" s="56">
        <f t="shared" si="12"/>
        <v>-21761373.839942686</v>
      </c>
      <c r="Y34" s="56"/>
      <c r="Z34" s="55"/>
      <c r="AA34" s="56"/>
      <c r="AB34" s="56"/>
      <c r="AC34" s="53"/>
      <c r="AD34" s="73"/>
      <c r="AE34" s="49"/>
    </row>
    <row r="35" spans="1:31" s="50" customFormat="1" x14ac:dyDescent="0.25">
      <c r="A35" s="49">
        <f t="shared" si="13"/>
        <v>23</v>
      </c>
      <c r="B35" s="49">
        <f t="shared" si="6"/>
        <v>2038</v>
      </c>
      <c r="C35" s="54">
        <f>'Safety Curr ScheduleOLD'!O38</f>
        <v>66971869.855962016</v>
      </c>
      <c r="D35" s="70">
        <f>'Misc Curr Schd w2016Loss &amp; DC'!Z38</f>
        <v>8</v>
      </c>
      <c r="E35" s="65">
        <f>'Safety Curr ScheduleOLD'!Q38</f>
        <v>22414215.055140968</v>
      </c>
      <c r="F35" s="63">
        <f>'Safety Curr ScheduleOLD'!R38</f>
        <v>1557061355.8323355</v>
      </c>
      <c r="G35" s="109">
        <f>'Safety Curr ScheduleOLD'!S38</f>
        <v>0.95698829104896654</v>
      </c>
      <c r="H35" s="49"/>
      <c r="I35" s="54"/>
      <c r="J35" s="63"/>
      <c r="K35" s="56"/>
      <c r="L35" s="56">
        <f t="shared" si="8"/>
        <v>-22414215.055140968</v>
      </c>
      <c r="M35" s="63"/>
      <c r="N35" s="55"/>
      <c r="O35" s="54"/>
      <c r="P35" s="63"/>
      <c r="Q35" s="56"/>
      <c r="R35" s="56">
        <f t="shared" si="10"/>
        <v>-22414215.055140968</v>
      </c>
      <c r="S35" s="56"/>
      <c r="T35" s="55"/>
      <c r="U35" s="54"/>
      <c r="V35" s="63"/>
      <c r="W35" s="56"/>
      <c r="X35" s="56">
        <f t="shared" si="12"/>
        <v>-22414215.055140968</v>
      </c>
      <c r="Y35" s="56"/>
      <c r="Z35" s="55"/>
      <c r="AA35" s="56"/>
      <c r="AB35" s="56"/>
      <c r="AC35" s="53"/>
      <c r="AD35" s="73"/>
      <c r="AE35" s="49"/>
    </row>
    <row r="36" spans="1:31" s="50" customFormat="1" x14ac:dyDescent="0.25">
      <c r="A36" s="49">
        <f t="shared" si="13"/>
        <v>24</v>
      </c>
      <c r="B36" s="49">
        <f t="shared" si="6"/>
        <v>2039</v>
      </c>
      <c r="C36" s="54">
        <f>'Safety Curr ScheduleOLD'!O39</f>
        <v>48755207.296568863</v>
      </c>
      <c r="D36" s="70">
        <f>'Misc Curr Schd w2016Loss &amp; DC'!Z39</f>
        <v>7</v>
      </c>
      <c r="E36" s="65">
        <f>'Safety Curr ScheduleOLD'!Q39</f>
        <v>23086641.506795205</v>
      </c>
      <c r="F36" s="63">
        <f>'Safety Curr ScheduleOLD'!R39</f>
        <v>1641609787.4540312</v>
      </c>
      <c r="G36" s="109">
        <f>'Safety Curr ScheduleOLD'!S39</f>
        <v>0.97030036756044002</v>
      </c>
      <c r="H36" s="49"/>
      <c r="I36" s="54"/>
      <c r="J36" s="63"/>
      <c r="K36" s="56"/>
      <c r="L36" s="56">
        <f t="shared" si="8"/>
        <v>-23086641.506795205</v>
      </c>
      <c r="M36" s="63"/>
      <c r="N36" s="55"/>
      <c r="O36" s="54"/>
      <c r="P36" s="63"/>
      <c r="Q36" s="56"/>
      <c r="R36" s="56">
        <f t="shared" si="10"/>
        <v>-23086641.506795205</v>
      </c>
      <c r="S36" s="56"/>
      <c r="T36" s="55"/>
      <c r="U36" s="54"/>
      <c r="V36" s="63"/>
      <c r="W36" s="56"/>
      <c r="X36" s="56">
        <f t="shared" si="12"/>
        <v>-23086641.506795205</v>
      </c>
      <c r="Y36" s="56"/>
      <c r="Z36" s="55"/>
      <c r="AA36" s="56"/>
      <c r="AB36" s="56"/>
      <c r="AC36" s="53"/>
      <c r="AD36" s="73"/>
      <c r="AE36" s="49"/>
    </row>
    <row r="37" spans="1:31" s="50" customFormat="1" x14ac:dyDescent="0.25">
      <c r="A37" s="49">
        <f t="shared" si="13"/>
        <v>25</v>
      </c>
      <c r="B37" s="49">
        <f t="shared" si="6"/>
        <v>2040</v>
      </c>
      <c r="C37" s="54">
        <f>'Safety Curr ScheduleOLD'!O40</f>
        <v>28475108.461263515</v>
      </c>
      <c r="D37" s="70">
        <f>'Misc Curr Schd w2016Loss &amp; DC'!Z40</f>
        <v>6</v>
      </c>
      <c r="E37" s="65">
        <f>'Safety Curr ScheduleOLD'!Q40</f>
        <v>7600707.6866954248</v>
      </c>
      <c r="F37" s="63">
        <f>'Safety Curr ScheduleOLD'!R40</f>
        <v>1730749198.9127851</v>
      </c>
      <c r="G37" s="109">
        <f>'Safety Curr ScheduleOLD'!S40</f>
        <v>0.98354752469095419</v>
      </c>
      <c r="H37" s="49"/>
      <c r="I37" s="54"/>
      <c r="J37" s="63"/>
      <c r="K37" s="56"/>
      <c r="L37" s="56">
        <f t="shared" si="8"/>
        <v>-7600707.6866954248</v>
      </c>
      <c r="M37" s="63"/>
      <c r="N37" s="55"/>
      <c r="O37" s="54"/>
      <c r="P37" s="63"/>
      <c r="Q37" s="56"/>
      <c r="R37" s="56">
        <f t="shared" si="10"/>
        <v>-7600707.6866954248</v>
      </c>
      <c r="S37" s="56"/>
      <c r="T37" s="55"/>
      <c r="U37" s="54"/>
      <c r="V37" s="63"/>
      <c r="W37" s="56"/>
      <c r="X37" s="56">
        <f t="shared" si="12"/>
        <v>-7600707.6866954248</v>
      </c>
      <c r="Y37" s="56"/>
      <c r="Z37" s="55"/>
      <c r="AA37" s="56"/>
      <c r="AB37" s="56"/>
      <c r="AC37" s="53"/>
      <c r="AD37" s="73"/>
      <c r="AE37" s="49"/>
    </row>
    <row r="38" spans="1:31" s="50" customFormat="1" x14ac:dyDescent="0.25">
      <c r="A38" s="49">
        <f t="shared" si="13"/>
        <v>26</v>
      </c>
      <c r="B38" s="49">
        <f t="shared" si="6"/>
        <v>2041</v>
      </c>
      <c r="C38" s="54">
        <f>'Safety Curr ScheduleOLD'!O41</f>
        <v>22730160.136410929</v>
      </c>
      <c r="D38" s="70">
        <f>'Misc Curr Schd w2016Loss &amp; DC'!Z41</f>
        <v>5</v>
      </c>
      <c r="E38" s="65">
        <f>'Safety Curr ScheduleOLD'!Q41</f>
        <v>7828728.9172962885</v>
      </c>
      <c r="F38" s="63">
        <f>'Safety Curr ScheduleOLD'!R41</f>
        <v>1824728880.4137492</v>
      </c>
      <c r="G38" s="109">
        <f>'Safety Curr ScheduleOLD'!S41</f>
        <v>0.98754326717772067</v>
      </c>
      <c r="H38" s="49"/>
      <c r="I38" s="54"/>
      <c r="J38" s="63"/>
      <c r="K38" s="56"/>
      <c r="L38" s="56">
        <f t="shared" si="8"/>
        <v>-7828728.9172962885</v>
      </c>
      <c r="M38" s="63"/>
      <c r="N38" s="55"/>
      <c r="O38" s="54"/>
      <c r="P38" s="63"/>
      <c r="Q38" s="56"/>
      <c r="R38" s="56">
        <f t="shared" si="10"/>
        <v>-7828728.9172962885</v>
      </c>
      <c r="S38" s="56"/>
      <c r="T38" s="55"/>
      <c r="U38" s="54"/>
      <c r="V38" s="63"/>
      <c r="W38" s="56"/>
      <c r="X38" s="56">
        <f t="shared" si="12"/>
        <v>-7828728.9172962885</v>
      </c>
      <c r="Y38" s="56"/>
      <c r="Z38" s="55"/>
      <c r="AA38" s="56"/>
      <c r="AB38" s="56"/>
      <c r="AC38" s="53"/>
      <c r="AD38" s="73"/>
      <c r="AE38" s="49"/>
    </row>
    <row r="39" spans="1:31" s="50" customFormat="1" x14ac:dyDescent="0.25">
      <c r="A39" s="49">
        <f t="shared" si="13"/>
        <v>27</v>
      </c>
      <c r="B39" s="49">
        <f t="shared" si="6"/>
        <v>2042</v>
      </c>
      <c r="C39" s="54">
        <f>'Safety Curr ScheduleOLD'!O42</f>
        <v>16317923.243410984</v>
      </c>
      <c r="D39" s="70">
        <f>'Misc Curr Schd w2016Loss &amp; DC'!Z42</f>
        <v>4</v>
      </c>
      <c r="E39" s="65">
        <f>'Safety Curr ScheduleOLD'!Q42</f>
        <v>6754097.5448685624</v>
      </c>
      <c r="F39" s="63">
        <f>'Safety Curr ScheduleOLD'!R42</f>
        <v>1923811658.6202159</v>
      </c>
      <c r="G39" s="109">
        <f>'Safety Curr ScheduleOLD'!S42</f>
        <v>0.99151792059773958</v>
      </c>
      <c r="H39" s="49"/>
      <c r="I39" s="54"/>
      <c r="J39" s="63"/>
      <c r="K39" s="56"/>
      <c r="L39" s="56">
        <f t="shared" si="8"/>
        <v>-6754097.5448685624</v>
      </c>
      <c r="M39" s="63"/>
      <c r="N39" s="55"/>
      <c r="O39" s="54"/>
      <c r="P39" s="63"/>
      <c r="Q39" s="56"/>
      <c r="R39" s="56">
        <f t="shared" si="10"/>
        <v>-6754097.5448685624</v>
      </c>
      <c r="S39" s="56"/>
      <c r="T39" s="55"/>
      <c r="U39" s="54"/>
      <c r="V39" s="63"/>
      <c r="W39" s="56"/>
      <c r="X39" s="56">
        <f t="shared" si="12"/>
        <v>-6754097.5448685624</v>
      </c>
      <c r="Y39" s="56"/>
      <c r="Z39" s="55"/>
      <c r="AA39" s="56"/>
      <c r="AB39" s="56"/>
      <c r="AC39" s="53"/>
      <c r="AD39" s="73"/>
      <c r="AE39" s="49"/>
    </row>
    <row r="40" spans="1:31" s="50" customFormat="1" x14ac:dyDescent="0.25">
      <c r="A40" s="49">
        <f t="shared" si="13"/>
        <v>28</v>
      </c>
      <c r="B40" s="49">
        <f t="shared" si="6"/>
        <v>2043</v>
      </c>
      <c r="C40" s="54">
        <f>'Safety Curr ScheduleOLD'!O43</f>
        <v>10538970.104975723</v>
      </c>
      <c r="D40" s="70">
        <f>'Misc Curr Schd w2016Loss &amp; DC'!Z43</f>
        <v>3</v>
      </c>
      <c r="E40" s="65">
        <f>'Safety Curr ScheduleOLD'!Q43</f>
        <v>5607942.4340696046</v>
      </c>
      <c r="F40" s="63">
        <f>'Safety Curr ScheduleOLD'!R43</f>
        <v>2028274631.6832936</v>
      </c>
      <c r="G40" s="109">
        <f>'Safety Curr ScheduleOLD'!S43</f>
        <v>0.99480397282480959</v>
      </c>
      <c r="H40" s="49"/>
      <c r="I40" s="54"/>
      <c r="J40" s="63"/>
      <c r="K40" s="56"/>
      <c r="L40" s="56">
        <f t="shared" si="8"/>
        <v>-5607942.4340696046</v>
      </c>
      <c r="M40" s="63"/>
      <c r="N40" s="55"/>
      <c r="O40" s="54"/>
      <c r="P40" s="63"/>
      <c r="Q40" s="56"/>
      <c r="R40" s="56">
        <f t="shared" si="10"/>
        <v>-5607942.4340696046</v>
      </c>
      <c r="S40" s="56"/>
      <c r="T40" s="55"/>
      <c r="U40" s="54"/>
      <c r="V40" s="63"/>
      <c r="W40" s="56"/>
      <c r="X40" s="56">
        <f t="shared" si="12"/>
        <v>-5607942.4340696046</v>
      </c>
      <c r="Y40" s="56"/>
      <c r="Z40" s="55"/>
      <c r="AA40" s="56"/>
      <c r="AB40" s="56"/>
      <c r="AC40" s="53"/>
      <c r="AD40" s="73"/>
      <c r="AE40" s="49"/>
    </row>
    <row r="41" spans="1:31" x14ac:dyDescent="0.25">
      <c r="A41" s="49">
        <f t="shared" si="13"/>
        <v>29</v>
      </c>
      <c r="B41" s="49">
        <f t="shared" si="6"/>
        <v>2044</v>
      </c>
      <c r="C41" s="54">
        <f>'Safety Curr ScheduleOLD'!O44</f>
        <v>5514954.3930027885</v>
      </c>
      <c r="D41" s="70">
        <f>'Misc Curr Schd w2016Loss &amp; DC'!Z44</f>
        <v>2</v>
      </c>
      <c r="E41" s="65">
        <f>'Safety Curr ScheduleOLD'!Q44</f>
        <v>4386939.3288323293</v>
      </c>
      <c r="F41" s="63">
        <f>'Safety Curr ScheduleOLD'!R44</f>
        <v>2138409944.1836965</v>
      </c>
      <c r="G41" s="109">
        <f>'Safety Curr ScheduleOLD'!S44</f>
        <v>0.99742100226946517</v>
      </c>
      <c r="I41" s="54"/>
      <c r="J41" s="63"/>
      <c r="K41" s="56"/>
      <c r="L41" s="56">
        <f t="shared" si="8"/>
        <v>-4386939.3288323293</v>
      </c>
      <c r="M41" s="63"/>
      <c r="N41" s="55"/>
      <c r="O41" s="54"/>
      <c r="P41" s="63"/>
      <c r="Q41" s="56"/>
      <c r="R41" s="56">
        <f t="shared" si="10"/>
        <v>-4386939.3288323293</v>
      </c>
      <c r="S41" s="56"/>
      <c r="T41" s="55"/>
      <c r="U41" s="54"/>
      <c r="V41" s="63"/>
      <c r="W41" s="56"/>
      <c r="X41" s="56">
        <f t="shared" si="12"/>
        <v>-4386939.3288323293</v>
      </c>
      <c r="Y41" s="56"/>
      <c r="Z41" s="55"/>
      <c r="AA41" s="56"/>
      <c r="AB41" s="56"/>
      <c r="AC41" s="53"/>
    </row>
    <row r="42" spans="1:31" x14ac:dyDescent="0.25">
      <c r="A42" s="49">
        <f t="shared" si="13"/>
        <v>30</v>
      </c>
      <c r="B42" s="49">
        <f t="shared" si="6"/>
        <v>2045</v>
      </c>
      <c r="C42" s="54">
        <f>'Safety Curr ScheduleOLD'!O45</f>
        <v>1380100.4668310741</v>
      </c>
      <c r="D42" s="70">
        <f>'Misc Curr Schd w2016Loss &amp; DC'!Z45</f>
        <v>1</v>
      </c>
      <c r="E42" s="65">
        <f>'Safety Curr ScheduleOLD'!Q45</f>
        <v>1430918.619607145</v>
      </c>
      <c r="F42" s="63">
        <f>'Safety Curr ScheduleOLD'!R45</f>
        <v>2254525604.1528711</v>
      </c>
      <c r="G42" s="109">
        <f>'Safety Curr ScheduleOLD'!S45</f>
        <v>0.99938785327419255</v>
      </c>
      <c r="I42" s="54"/>
      <c r="J42" s="63"/>
      <c r="K42" s="111"/>
      <c r="L42" s="56">
        <f t="shared" si="8"/>
        <v>-1430918.619607145</v>
      </c>
      <c r="M42" s="63"/>
      <c r="N42" s="109"/>
      <c r="O42" s="54"/>
      <c r="P42" s="63"/>
      <c r="Q42" s="111"/>
      <c r="R42" s="56">
        <f t="shared" si="10"/>
        <v>-1430918.619607145</v>
      </c>
      <c r="S42" s="111"/>
      <c r="T42" s="109"/>
      <c r="U42" s="54"/>
      <c r="V42" s="63"/>
      <c r="W42" s="111"/>
      <c r="X42" s="56">
        <f t="shared" si="12"/>
        <v>-1430918.619607145</v>
      </c>
      <c r="Y42" s="111"/>
      <c r="Z42" s="109"/>
      <c r="AA42" s="111"/>
      <c r="AB42" s="111"/>
      <c r="AC42" s="53"/>
    </row>
    <row r="43" spans="1:31" x14ac:dyDescent="0.25">
      <c r="C43" s="91"/>
      <c r="D43" s="70"/>
      <c r="E43" s="65"/>
      <c r="F43" s="63"/>
      <c r="G43" s="109"/>
      <c r="I43" s="54"/>
      <c r="J43" s="63"/>
      <c r="K43" s="56"/>
      <c r="L43" s="56"/>
      <c r="M43" s="63"/>
      <c r="N43" s="55"/>
      <c r="O43" s="54"/>
      <c r="P43" s="63"/>
      <c r="Q43" s="56"/>
      <c r="R43" s="56"/>
      <c r="S43" s="56"/>
      <c r="T43" s="55"/>
      <c r="U43" s="54"/>
      <c r="V43" s="63"/>
      <c r="W43" s="56"/>
      <c r="X43" s="56"/>
      <c r="Y43" s="56"/>
      <c r="Z43" s="55"/>
      <c r="AA43" s="56"/>
      <c r="AB43" s="56"/>
      <c r="AC43" s="53"/>
    </row>
    <row r="44" spans="1:31" x14ac:dyDescent="0.25">
      <c r="C44" s="66"/>
      <c r="D44" s="67"/>
      <c r="E44" s="67"/>
      <c r="F44" s="126"/>
      <c r="G44" s="34"/>
      <c r="I44" s="57"/>
      <c r="J44" s="68"/>
      <c r="K44" s="59"/>
      <c r="L44" s="59"/>
      <c r="M44" s="68"/>
      <c r="N44" s="58"/>
      <c r="O44" s="57"/>
      <c r="P44" s="68"/>
      <c r="Q44" s="59"/>
      <c r="R44" s="59"/>
      <c r="S44" s="59"/>
      <c r="T44" s="58"/>
      <c r="U44" s="57"/>
      <c r="V44" s="68"/>
      <c r="W44" s="59"/>
      <c r="X44" s="59"/>
      <c r="Y44" s="59"/>
      <c r="Z44" s="58"/>
      <c r="AA44" s="56"/>
      <c r="AB44" s="56"/>
      <c r="AC44" s="53"/>
    </row>
    <row r="45" spans="1:31" x14ac:dyDescent="0.25">
      <c r="C45" s="22"/>
      <c r="D45" s="52"/>
      <c r="E45" s="52"/>
      <c r="F45" s="36"/>
      <c r="G45" s="21"/>
      <c r="I45" s="40" t="s">
        <v>81</v>
      </c>
      <c r="J45" s="16"/>
      <c r="K45" s="133">
        <f>SUM(K13:K44)</f>
        <v>337763689.10316485</v>
      </c>
      <c r="L45" s="133">
        <f>SUM(L13:L44)</f>
        <v>-92303017.352625072</v>
      </c>
      <c r="M45" s="136"/>
      <c r="N45" s="137"/>
      <c r="O45" s="40" t="s">
        <v>81</v>
      </c>
      <c r="P45" s="16"/>
      <c r="Q45" s="133">
        <f>SUM(Q13:Q44)</f>
        <v>293843018.39507014</v>
      </c>
      <c r="R45" s="133">
        <f>SUM(R13:R44)</f>
        <v>-136223688.0607197</v>
      </c>
      <c r="S45" s="133"/>
      <c r="T45" s="137"/>
      <c r="U45" s="40" t="s">
        <v>81</v>
      </c>
      <c r="V45" s="16"/>
      <c r="W45" s="133">
        <f>SUM(W13:W44)</f>
        <v>246455420.82577071</v>
      </c>
      <c r="X45" s="133">
        <f>SUM(X13:X44)</f>
        <v>-183611285.63001925</v>
      </c>
      <c r="Y45" s="133"/>
      <c r="Z45" s="137"/>
      <c r="AA45" s="47"/>
      <c r="AB45" s="47"/>
    </row>
    <row r="46" spans="1:31" x14ac:dyDescent="0.25">
      <c r="C46" s="22" t="s">
        <v>81</v>
      </c>
      <c r="D46" s="52"/>
      <c r="E46" s="36">
        <f>SUM(E13:E44)</f>
        <v>430066706.4557901</v>
      </c>
      <c r="F46" s="134"/>
      <c r="G46" s="135"/>
      <c r="I46" s="22" t="s">
        <v>82</v>
      </c>
      <c r="J46" s="52"/>
      <c r="K46" s="35">
        <f>$E46</f>
        <v>430066706.4557901</v>
      </c>
      <c r="L46" s="134"/>
      <c r="M46" s="121"/>
      <c r="N46" s="135"/>
      <c r="O46" s="22" t="s">
        <v>82</v>
      </c>
      <c r="P46" s="52"/>
      <c r="Q46" s="35">
        <f>$E46</f>
        <v>430066706.4557901</v>
      </c>
      <c r="R46" s="134"/>
      <c r="S46" s="134"/>
      <c r="T46" s="135"/>
      <c r="U46" s="22" t="s">
        <v>82</v>
      </c>
      <c r="V46" s="52"/>
      <c r="W46" s="35">
        <f>$E46</f>
        <v>430066706.4557901</v>
      </c>
      <c r="X46" s="134"/>
      <c r="Y46" s="134"/>
      <c r="Z46" s="135"/>
      <c r="AA46" s="48"/>
      <c r="AB46" s="48"/>
      <c r="AC46" s="48"/>
    </row>
    <row r="47" spans="1:31" x14ac:dyDescent="0.25">
      <c r="C47" s="22"/>
      <c r="D47" s="52"/>
      <c r="E47" s="36"/>
      <c r="F47" s="52"/>
      <c r="G47" s="21"/>
      <c r="I47" s="22" t="s">
        <v>85</v>
      </c>
      <c r="J47" s="52"/>
      <c r="K47" s="36">
        <f>K45-K46</f>
        <v>-92303017.352625251</v>
      </c>
      <c r="L47" s="52"/>
      <c r="M47" s="121"/>
      <c r="N47" s="21"/>
      <c r="O47" s="22" t="s">
        <v>85</v>
      </c>
      <c r="P47" s="52"/>
      <c r="Q47" s="36">
        <f>Q45-Q46</f>
        <v>-136223688.06071997</v>
      </c>
      <c r="R47" s="52"/>
      <c r="S47" s="52"/>
      <c r="T47" s="21"/>
      <c r="U47" s="22" t="s">
        <v>85</v>
      </c>
      <c r="V47" s="52"/>
      <c r="W47" s="36">
        <f>W45-W46</f>
        <v>-183611285.6300194</v>
      </c>
      <c r="X47" s="52"/>
      <c r="Y47" s="52"/>
      <c r="Z47" s="21"/>
    </row>
    <row r="48" spans="1:31" x14ac:dyDescent="0.25">
      <c r="C48" s="22"/>
      <c r="D48" s="52"/>
      <c r="E48" s="52"/>
      <c r="F48" s="52"/>
      <c r="G48" s="21"/>
      <c r="I48" s="22"/>
      <c r="J48" s="52"/>
      <c r="K48" s="52"/>
      <c r="L48" s="52"/>
      <c r="M48" s="121"/>
      <c r="N48" s="21"/>
      <c r="O48" s="22"/>
      <c r="P48" s="52"/>
      <c r="Q48" s="52"/>
      <c r="R48" s="52"/>
      <c r="S48" s="52"/>
      <c r="T48" s="21"/>
      <c r="U48" s="22"/>
      <c r="V48" s="52"/>
      <c r="W48" s="52"/>
      <c r="X48" s="52"/>
      <c r="Y48" s="52"/>
      <c r="Z48" s="21"/>
    </row>
    <row r="49" spans="3:26" x14ac:dyDescent="0.25">
      <c r="C49" s="22"/>
      <c r="D49" s="52"/>
      <c r="E49" s="52"/>
      <c r="F49" s="52"/>
      <c r="G49" s="21"/>
      <c r="I49" s="22" t="s">
        <v>86</v>
      </c>
      <c r="J49" s="52"/>
      <c r="K49" s="134">
        <f>NPV(0.03,K13:K32)</f>
        <v>248064058.58924395</v>
      </c>
      <c r="L49" s="52"/>
      <c r="M49" s="121"/>
      <c r="N49" s="21"/>
      <c r="O49" s="22" t="s">
        <v>86</v>
      </c>
      <c r="P49" s="52"/>
      <c r="Q49" s="134">
        <f>NPV(0.03,Q13:Q27)</f>
        <v>230081567.3566038</v>
      </c>
      <c r="R49" s="52"/>
      <c r="S49" s="52"/>
      <c r="T49" s="21"/>
      <c r="U49" s="22" t="s">
        <v>86</v>
      </c>
      <c r="V49" s="52"/>
      <c r="W49" s="134">
        <f>NPV(0.03,W13:W27)</f>
        <v>208722633.1477648</v>
      </c>
      <c r="X49" s="52"/>
      <c r="Y49" s="52"/>
      <c r="Z49" s="21"/>
    </row>
    <row r="50" spans="3:26" x14ac:dyDescent="0.25">
      <c r="C50" s="22" t="s">
        <v>86</v>
      </c>
      <c r="D50" s="52"/>
      <c r="E50" s="134">
        <f>NPV(0.03,E13:E42)</f>
        <v>281878256.3123796</v>
      </c>
      <c r="F50" s="52"/>
      <c r="G50" s="21"/>
      <c r="I50" s="22" t="s">
        <v>80</v>
      </c>
      <c r="J50" s="52"/>
      <c r="K50" s="127">
        <f>$E50</f>
        <v>281878256.3123796</v>
      </c>
      <c r="L50" s="52"/>
      <c r="M50" s="121"/>
      <c r="N50" s="21"/>
      <c r="O50" s="22" t="s">
        <v>80</v>
      </c>
      <c r="P50" s="52"/>
      <c r="Q50" s="127">
        <f>$E50</f>
        <v>281878256.3123796</v>
      </c>
      <c r="R50" s="52"/>
      <c r="S50" s="52"/>
      <c r="T50" s="21"/>
      <c r="U50" s="22" t="s">
        <v>80</v>
      </c>
      <c r="V50" s="52"/>
      <c r="W50" s="127">
        <f>$E50</f>
        <v>281878256.3123796</v>
      </c>
      <c r="X50" s="52"/>
      <c r="Y50" s="52"/>
      <c r="Z50" s="21"/>
    </row>
    <row r="51" spans="3:26" x14ac:dyDescent="0.25">
      <c r="C51" s="22"/>
      <c r="D51" s="52"/>
      <c r="E51" s="52"/>
      <c r="F51" s="36"/>
      <c r="G51" s="21"/>
      <c r="I51" s="22" t="s">
        <v>84</v>
      </c>
      <c r="J51" s="52"/>
      <c r="K51" s="36">
        <f>K49-K50</f>
        <v>-33814197.72313565</v>
      </c>
      <c r="L51" s="36">
        <f>NPV(0.03,L13:L42)</f>
        <v>-33814197.723135762</v>
      </c>
      <c r="M51" s="121"/>
      <c r="N51" s="21"/>
      <c r="O51" s="22" t="s">
        <v>84</v>
      </c>
      <c r="P51" s="52"/>
      <c r="Q51" s="36">
        <f>Q49-Q50</f>
        <v>-51796688.955775797</v>
      </c>
      <c r="R51" s="36">
        <f>NPV(0.03,R13:R42)</f>
        <v>-51796688.955775931</v>
      </c>
      <c r="S51" s="52"/>
      <c r="T51" s="21"/>
      <c r="U51" s="22" t="s">
        <v>84</v>
      </c>
      <c r="V51" s="52"/>
      <c r="W51" s="36">
        <f>W49-W50</f>
        <v>-73155623.164614797</v>
      </c>
      <c r="X51" s="36">
        <f>NPV(0.03,X13:X42)</f>
        <v>-73155623.164614841</v>
      </c>
      <c r="Y51" s="52"/>
      <c r="Z51" s="21"/>
    </row>
    <row r="52" spans="3:26" x14ac:dyDescent="0.25">
      <c r="C52" s="22"/>
      <c r="D52" s="52"/>
      <c r="E52" s="52"/>
      <c r="F52" s="121"/>
      <c r="G52" s="21"/>
      <c r="I52" s="22"/>
      <c r="J52" s="52"/>
      <c r="K52" s="52"/>
      <c r="L52" s="52"/>
      <c r="M52" s="121"/>
      <c r="N52" s="21"/>
      <c r="O52" s="22"/>
      <c r="P52" s="52"/>
      <c r="Q52" s="52"/>
      <c r="R52" s="52"/>
      <c r="S52" s="52"/>
      <c r="T52" s="21"/>
      <c r="U52" s="22"/>
      <c r="V52" s="52"/>
      <c r="W52" s="52"/>
      <c r="X52" s="52"/>
      <c r="Y52" s="52"/>
      <c r="Z52" s="21"/>
    </row>
    <row r="53" spans="3:26" x14ac:dyDescent="0.25">
      <c r="C53" s="22" t="s">
        <v>89</v>
      </c>
      <c r="D53" s="52"/>
      <c r="E53" s="52">
        <v>2027</v>
      </c>
      <c r="F53" s="121"/>
      <c r="G53" s="21"/>
      <c r="I53" s="22" t="s">
        <v>89</v>
      </c>
      <c r="J53" s="52"/>
      <c r="K53" s="52">
        <v>2024</v>
      </c>
      <c r="L53" s="52"/>
      <c r="M53" s="121"/>
      <c r="N53" s="21"/>
      <c r="O53" s="22" t="s">
        <v>89</v>
      </c>
      <c r="P53" s="52"/>
      <c r="Q53" s="52">
        <v>2023</v>
      </c>
      <c r="R53" s="52"/>
      <c r="S53" s="52"/>
      <c r="T53" s="21"/>
      <c r="U53" s="22" t="s">
        <v>89</v>
      </c>
      <c r="V53" s="52"/>
      <c r="W53" s="52">
        <v>2021</v>
      </c>
      <c r="X53" s="52"/>
      <c r="Y53" s="52"/>
      <c r="Z53" s="21"/>
    </row>
    <row r="54" spans="3:26" x14ac:dyDescent="0.25">
      <c r="C54" s="33" t="s">
        <v>90</v>
      </c>
      <c r="D54" s="12"/>
      <c r="E54" s="12">
        <f>B42</f>
        <v>2045</v>
      </c>
      <c r="F54" s="138"/>
      <c r="G54" s="34"/>
      <c r="I54" s="33" t="s">
        <v>90</v>
      </c>
      <c r="J54" s="12"/>
      <c r="K54" s="12">
        <f>B32</f>
        <v>2035</v>
      </c>
      <c r="L54" s="12"/>
      <c r="M54" s="138"/>
      <c r="N54" s="34"/>
      <c r="O54" s="33" t="s">
        <v>90</v>
      </c>
      <c r="P54" s="12"/>
      <c r="Q54" s="12">
        <f>B28</f>
        <v>2031</v>
      </c>
      <c r="R54" s="12"/>
      <c r="S54" s="12"/>
      <c r="T54" s="34"/>
      <c r="U54" s="33" t="s">
        <v>90</v>
      </c>
      <c r="V54" s="12"/>
      <c r="W54" s="12">
        <v>2026</v>
      </c>
      <c r="X54" s="12"/>
      <c r="Y54" s="12"/>
      <c r="Z54" s="34"/>
    </row>
    <row r="56" spans="3:26" x14ac:dyDescent="0.25">
      <c r="C56" s="215">
        <v>0</v>
      </c>
      <c r="D56" s="52"/>
      <c r="E56" s="52"/>
      <c r="F56" s="56"/>
      <c r="M56" s="49"/>
      <c r="P56" s="48"/>
    </row>
    <row r="57" spans="3:26" x14ac:dyDescent="0.25">
      <c r="C57" s="215">
        <v>-1</v>
      </c>
      <c r="D57" s="52"/>
      <c r="E57" s="52"/>
      <c r="F57" s="274"/>
      <c r="M57" s="49"/>
    </row>
    <row r="58" spans="3:26" x14ac:dyDescent="0.25">
      <c r="C58" s="215">
        <v>1</v>
      </c>
      <c r="D58" s="52"/>
      <c r="E58" s="52"/>
      <c r="F58" s="56"/>
      <c r="M58" s="49"/>
    </row>
  </sheetData>
  <mergeCells count="7">
    <mergeCell ref="C7:G7"/>
    <mergeCell ref="C8:G8"/>
    <mergeCell ref="I8:Z8"/>
    <mergeCell ref="C9:G9"/>
    <mergeCell ref="I9:N9"/>
    <mergeCell ref="O9:T9"/>
    <mergeCell ref="U9:Z9"/>
  </mergeCells>
  <conditionalFormatting sqref="G11:G43">
    <cfRule type="iconSet" priority="39">
      <iconSet>
        <cfvo type="percent" val="0"/>
        <cfvo type="num" val="0.7"/>
        <cfvo type="num" val="0.8"/>
      </iconSet>
    </cfRule>
  </conditionalFormatting>
  <conditionalFormatting sqref="N11:N32">
    <cfRule type="iconSet" priority="38">
      <iconSet>
        <cfvo type="percent" val="0"/>
        <cfvo type="num" val="0.7"/>
        <cfvo type="num" val="0.8"/>
      </iconSet>
    </cfRule>
  </conditionalFormatting>
  <conditionalFormatting sqref="T11:T32">
    <cfRule type="iconSet" priority="37">
      <iconSet>
        <cfvo type="percent" val="0"/>
        <cfvo type="num" val="0.7"/>
        <cfvo type="num" val="0.8"/>
      </iconSet>
    </cfRule>
  </conditionalFormatting>
  <conditionalFormatting sqref="Z11:Z32">
    <cfRule type="iconSet" priority="36">
      <iconSet>
        <cfvo type="percent" val="0"/>
        <cfvo type="num" val="0.7"/>
        <cfvo type="num" val="0.8"/>
      </iconSet>
    </cfRule>
  </conditionalFormatting>
  <conditionalFormatting sqref="C14">
    <cfRule type="cellIs" dxfId="32" priority="28" operator="greaterThanOrEqual">
      <formula>C13</formula>
    </cfRule>
    <cfRule type="cellIs" dxfId="31" priority="29" operator="greaterThan">
      <formula>C$13</formula>
    </cfRule>
    <cfRule type="cellIs" dxfId="30" priority="30" operator="lessThanOrEqual">
      <formula>C$13</formula>
    </cfRule>
  </conditionalFormatting>
  <conditionalFormatting sqref="C15:C42">
    <cfRule type="cellIs" dxfId="29" priority="25" operator="greaterThanOrEqual">
      <formula>C14</formula>
    </cfRule>
    <cfRule type="cellIs" dxfId="28" priority="26" operator="greaterThan">
      <formula>C$13</formula>
    </cfRule>
    <cfRule type="cellIs" dxfId="27" priority="27" operator="lessThanOrEqual">
      <formula>C$13</formula>
    </cfRule>
  </conditionalFormatting>
  <conditionalFormatting sqref="I14">
    <cfRule type="cellIs" dxfId="26" priority="22" operator="greaterThanOrEqual">
      <formula>I13</formula>
    </cfRule>
    <cfRule type="cellIs" dxfId="25" priority="23" operator="greaterThan">
      <formula>I$13</formula>
    </cfRule>
    <cfRule type="cellIs" dxfId="24" priority="24" operator="lessThanOrEqual">
      <formula>I$13</formula>
    </cfRule>
  </conditionalFormatting>
  <conditionalFormatting sqref="I15:I32">
    <cfRule type="cellIs" dxfId="23" priority="19" operator="greaterThanOrEqual">
      <formula>I14</formula>
    </cfRule>
    <cfRule type="cellIs" dxfId="22" priority="20" operator="greaterThan">
      <formula>I$13</formula>
    </cfRule>
    <cfRule type="cellIs" dxfId="21" priority="21" operator="lessThanOrEqual">
      <formula>I$13</formula>
    </cfRule>
  </conditionalFormatting>
  <conditionalFormatting sqref="O14">
    <cfRule type="cellIs" dxfId="20" priority="16" operator="greaterThanOrEqual">
      <formula>O13</formula>
    </cfRule>
    <cfRule type="cellIs" dxfId="19" priority="17" operator="greaterThan">
      <formula>O$13</formula>
    </cfRule>
    <cfRule type="cellIs" dxfId="18" priority="18" operator="lessThanOrEqual">
      <formula>O$13</formula>
    </cfRule>
  </conditionalFormatting>
  <conditionalFormatting sqref="O15:O28">
    <cfRule type="cellIs" dxfId="17" priority="13" operator="greaterThanOrEqual">
      <formula>O14</formula>
    </cfRule>
    <cfRule type="cellIs" dxfId="16" priority="14" operator="greaterThan">
      <formula>O$13</formula>
    </cfRule>
    <cfRule type="cellIs" dxfId="15" priority="15" operator="lessThanOrEqual">
      <formula>O$13</formula>
    </cfRule>
  </conditionalFormatting>
  <conditionalFormatting sqref="U14">
    <cfRule type="cellIs" dxfId="14" priority="10" operator="greaterThanOrEqual">
      <formula>U13</formula>
    </cfRule>
    <cfRule type="cellIs" dxfId="13" priority="11" operator="greaterThan">
      <formula>U$13</formula>
    </cfRule>
    <cfRule type="cellIs" dxfId="12" priority="12" operator="lessThanOrEqual">
      <formula>U$13</formula>
    </cfRule>
  </conditionalFormatting>
  <conditionalFormatting sqref="U15:U23">
    <cfRule type="cellIs" dxfId="11" priority="7" operator="greaterThanOrEqual">
      <formula>U14</formula>
    </cfRule>
    <cfRule type="cellIs" dxfId="10" priority="8" operator="greaterThan">
      <formula>U$13</formula>
    </cfRule>
    <cfRule type="cellIs" dxfId="9" priority="9" operator="lessThanOrEqual">
      <formula>U$13</formula>
    </cfRule>
  </conditionalFormatting>
  <conditionalFormatting sqref="F56">
    <cfRule type="cellIs" dxfId="8" priority="1" operator="greaterThanOrEqual">
      <formula>C56</formula>
    </cfRule>
    <cfRule type="cellIs" dxfId="7" priority="2" operator="greaterThan">
      <formula>C57</formula>
    </cfRule>
    <cfRule type="cellIs" dxfId="6" priority="3" operator="lessThanOrEqual">
      <formula>51</formula>
    </cfRule>
  </conditionalFormatting>
  <conditionalFormatting sqref="F58">
    <cfRule type="cellIs" dxfId="5" priority="4" operator="greaterThanOrEqual">
      <formula>C58</formula>
    </cfRule>
    <cfRule type="cellIs" dxfId="4" priority="5" operator="greaterThan">
      <formula>F56</formula>
    </cfRule>
    <cfRule type="cellIs" dxfId="3" priority="6" operator="lessThanOrEqual">
      <formula>51</formula>
    </cfRule>
  </conditionalFormatting>
  <pageMargins left="0.25" right="0.25" top="0.75" bottom="0.75" header="0.3" footer="0.3"/>
  <pageSetup scale="53" orientation="landscape" r:id="rId1"/>
  <headerFooter differentFirst="1">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topLeftCell="I3" workbookViewId="0">
      <selection activeCell="N33" sqref="N33"/>
    </sheetView>
  </sheetViews>
  <sheetFormatPr defaultRowHeight="15" x14ac:dyDescent="0.25"/>
  <cols>
    <col min="1" max="1" width="0" style="49" hidden="1" customWidth="1"/>
    <col min="2" max="2" width="0" hidden="1" customWidth="1"/>
    <col min="3" max="3" width="12.28515625" hidden="1" customWidth="1"/>
    <col min="4" max="5" width="12.5703125" hidden="1" customWidth="1"/>
    <col min="6" max="6" width="12.28515625" hidden="1" customWidth="1"/>
    <col min="7" max="7" width="12.5703125" hidden="1" customWidth="1"/>
    <col min="8" max="8" width="15.28515625" hidden="1" customWidth="1"/>
    <col min="9" max="9" width="3" customWidth="1"/>
    <col min="10" max="10" width="9.28515625" style="49" customWidth="1"/>
    <col min="11" max="11" width="14" bestFit="1" customWidth="1"/>
    <col min="12" max="12" width="15.5703125" bestFit="1" customWidth="1"/>
    <col min="13" max="13" width="16.28515625" bestFit="1" customWidth="1"/>
  </cols>
  <sheetData>
    <row r="1" spans="2:25" s="49" customFormat="1" x14ac:dyDescent="0.25"/>
    <row r="2" spans="2:25" s="49" customFormat="1" x14ac:dyDescent="0.25"/>
    <row r="3" spans="2:25" s="49" customFormat="1" x14ac:dyDescent="0.25"/>
    <row r="4" spans="2:25" s="49" customFormat="1" x14ac:dyDescent="0.25"/>
    <row r="5" spans="2:25" s="49" customFormat="1" x14ac:dyDescent="0.25"/>
    <row r="6" spans="2:25" s="49" customFormat="1" x14ac:dyDescent="0.25"/>
    <row r="7" spans="2:25" s="49" customFormat="1" x14ac:dyDescent="0.25"/>
    <row r="8" spans="2:25" s="49" customFormat="1" ht="47.25" customHeight="1" x14ac:dyDescent="0.35">
      <c r="C8" s="167" t="s">
        <v>111</v>
      </c>
      <c r="D8" s="168"/>
      <c r="E8" s="169"/>
      <c r="F8" s="167" t="s">
        <v>115</v>
      </c>
      <c r="G8" s="168"/>
      <c r="H8" s="169"/>
      <c r="J8" s="625" t="s">
        <v>121</v>
      </c>
      <c r="K8" s="625"/>
      <c r="L8" s="625"/>
      <c r="M8" s="625"/>
    </row>
    <row r="9" spans="2:25" s="49" customFormat="1" ht="15.75" x14ac:dyDescent="0.25">
      <c r="C9" s="183" t="s">
        <v>112</v>
      </c>
      <c r="D9" s="183" t="s">
        <v>113</v>
      </c>
      <c r="F9" s="183" t="s">
        <v>112</v>
      </c>
      <c r="G9" s="183" t="s">
        <v>113</v>
      </c>
      <c r="H9" s="183" t="s">
        <v>114</v>
      </c>
      <c r="J9" s="202" t="s">
        <v>52</v>
      </c>
      <c r="K9" s="203" t="s">
        <v>118</v>
      </c>
      <c r="L9" s="202" t="s">
        <v>119</v>
      </c>
      <c r="M9" s="202" t="s">
        <v>116</v>
      </c>
    </row>
    <row r="10" spans="2:25" ht="15.75" x14ac:dyDescent="0.25">
      <c r="B10">
        <v>1994</v>
      </c>
      <c r="C10" s="196">
        <v>65768228</v>
      </c>
      <c r="D10" s="197">
        <v>84464574</v>
      </c>
      <c r="J10" s="204">
        <f t="shared" ref="J10:J17" si="0">J11-1</f>
        <v>1994</v>
      </c>
      <c r="K10" s="205"/>
      <c r="L10" s="206"/>
      <c r="M10" s="206"/>
    </row>
    <row r="11" spans="2:25" ht="15.75" x14ac:dyDescent="0.25">
      <c r="B11" s="49">
        <f>B10+1</f>
        <v>1995</v>
      </c>
      <c r="C11" s="196">
        <v>70282872</v>
      </c>
      <c r="D11" s="197">
        <v>91665046</v>
      </c>
      <c r="F11" s="196">
        <v>74713375</v>
      </c>
      <c r="G11" s="197">
        <v>97443442</v>
      </c>
      <c r="J11" s="204">
        <f t="shared" si="0"/>
        <v>1995</v>
      </c>
      <c r="K11" s="205">
        <f t="shared" ref="K11:K28" si="1">SUM(C11:D11)</f>
        <v>161947918</v>
      </c>
      <c r="L11" s="206">
        <f t="shared" ref="L11:L28" si="2">SUM(F11:G11)</f>
        <v>172156817</v>
      </c>
      <c r="M11" s="206">
        <f t="shared" ref="M11:M28" si="3">L11-K11</f>
        <v>10208899</v>
      </c>
      <c r="N11" s="197"/>
      <c r="O11" s="197"/>
      <c r="P11" s="197"/>
      <c r="Q11" s="197"/>
      <c r="R11" s="197"/>
      <c r="S11" s="197"/>
      <c r="T11" s="197"/>
      <c r="U11" s="197"/>
      <c r="V11" s="197"/>
      <c r="W11" s="197"/>
      <c r="X11" s="197"/>
      <c r="Y11" s="197"/>
    </row>
    <row r="12" spans="2:25" ht="15.75" x14ac:dyDescent="0.25">
      <c r="B12" s="49">
        <f t="shared" ref="B12:B28" si="4">B11+1</f>
        <v>1996</v>
      </c>
      <c r="C12" s="196">
        <v>79075259</v>
      </c>
      <c r="D12" s="197">
        <v>103757452</v>
      </c>
      <c r="F12" s="196">
        <v>84917589</v>
      </c>
      <c r="G12" s="197">
        <v>111423381</v>
      </c>
      <c r="J12" s="204">
        <f t="shared" si="0"/>
        <v>1996</v>
      </c>
      <c r="K12" s="205">
        <f t="shared" si="1"/>
        <v>182832711</v>
      </c>
      <c r="L12" s="206">
        <f t="shared" si="2"/>
        <v>196340970</v>
      </c>
      <c r="M12" s="206">
        <f t="shared" si="3"/>
        <v>13508259</v>
      </c>
      <c r="N12" s="197"/>
      <c r="O12" s="197"/>
      <c r="P12" s="197"/>
      <c r="Q12" s="197"/>
      <c r="R12" s="197"/>
      <c r="S12" s="197"/>
      <c r="T12" s="197"/>
      <c r="U12" s="197"/>
      <c r="V12" s="197"/>
      <c r="W12" s="197"/>
      <c r="X12" s="197"/>
      <c r="Y12" s="197"/>
    </row>
    <row r="13" spans="2:25" ht="15.75" x14ac:dyDescent="0.25">
      <c r="B13" s="49">
        <f t="shared" si="4"/>
        <v>1997</v>
      </c>
      <c r="C13" s="196">
        <v>90826499</v>
      </c>
      <c r="D13" s="197">
        <v>120123076</v>
      </c>
      <c r="F13" s="196">
        <v>100918332</v>
      </c>
      <c r="G13" s="197">
        <v>133470084</v>
      </c>
      <c r="J13" s="204">
        <f t="shared" si="0"/>
        <v>1997</v>
      </c>
      <c r="K13" s="205">
        <f t="shared" si="1"/>
        <v>210949575</v>
      </c>
      <c r="L13" s="206">
        <f t="shared" si="2"/>
        <v>234388416</v>
      </c>
      <c r="M13" s="206">
        <f t="shared" si="3"/>
        <v>23438841</v>
      </c>
      <c r="N13" s="197"/>
      <c r="O13" s="197"/>
      <c r="P13" s="197"/>
      <c r="Q13" s="197"/>
      <c r="R13" s="197"/>
      <c r="S13" s="197"/>
      <c r="T13" s="197"/>
      <c r="U13" s="197"/>
      <c r="V13" s="197"/>
      <c r="W13" s="197"/>
      <c r="X13" s="197"/>
      <c r="Y13" s="197"/>
    </row>
    <row r="14" spans="2:25" ht="15.75" x14ac:dyDescent="0.25">
      <c r="B14" s="49">
        <f t="shared" si="4"/>
        <v>1998</v>
      </c>
      <c r="C14" s="196">
        <v>107618555</v>
      </c>
      <c r="D14" s="197">
        <v>144357654</v>
      </c>
      <c r="F14" s="196">
        <v>119576172</v>
      </c>
      <c r="G14" s="197">
        <v>160397393</v>
      </c>
      <c r="J14" s="204">
        <f t="shared" si="0"/>
        <v>1998</v>
      </c>
      <c r="K14" s="205">
        <f t="shared" si="1"/>
        <v>251976209</v>
      </c>
      <c r="L14" s="206">
        <f t="shared" si="2"/>
        <v>279973565</v>
      </c>
      <c r="M14" s="206">
        <f t="shared" si="3"/>
        <v>27997356</v>
      </c>
      <c r="N14" s="197"/>
      <c r="O14" s="197"/>
      <c r="P14" s="197"/>
      <c r="Q14" s="197"/>
      <c r="R14" s="197"/>
      <c r="S14" s="197"/>
      <c r="T14" s="197"/>
      <c r="U14" s="197"/>
      <c r="V14" s="197"/>
      <c r="W14" s="197"/>
      <c r="X14" s="197"/>
      <c r="Y14" s="197"/>
    </row>
    <row r="15" spans="2:25" ht="15.75" x14ac:dyDescent="0.25">
      <c r="B15" s="49">
        <f t="shared" si="4"/>
        <v>1999</v>
      </c>
      <c r="C15" s="196">
        <v>125443332</v>
      </c>
      <c r="D15" s="197">
        <v>170344623</v>
      </c>
      <c r="F15" s="196">
        <v>133743190</v>
      </c>
      <c r="G15" s="197">
        <v>181441556</v>
      </c>
      <c r="J15" s="204">
        <f t="shared" si="0"/>
        <v>1999</v>
      </c>
      <c r="K15" s="205">
        <f t="shared" si="1"/>
        <v>295787955</v>
      </c>
      <c r="L15" s="206">
        <f t="shared" si="2"/>
        <v>315184746</v>
      </c>
      <c r="M15" s="206">
        <f t="shared" si="3"/>
        <v>19396791</v>
      </c>
      <c r="N15" s="197"/>
      <c r="O15" s="197"/>
      <c r="P15" s="197"/>
      <c r="Q15" s="197"/>
      <c r="R15" s="197"/>
      <c r="S15" s="197"/>
      <c r="T15" s="197"/>
      <c r="U15" s="197"/>
      <c r="V15" s="197"/>
      <c r="W15" s="197"/>
      <c r="X15" s="197"/>
      <c r="Y15" s="197"/>
    </row>
    <row r="16" spans="2:25" ht="15.75" x14ac:dyDescent="0.25">
      <c r="B16" s="49">
        <f t="shared" si="4"/>
        <v>2000</v>
      </c>
      <c r="C16" s="196">
        <v>137045473</v>
      </c>
      <c r="D16" s="197">
        <v>187793054</v>
      </c>
      <c r="F16" s="196">
        <v>144432962</v>
      </c>
      <c r="G16" s="197">
        <v>197643663</v>
      </c>
      <c r="J16" s="204">
        <f t="shared" si="0"/>
        <v>2000</v>
      </c>
      <c r="K16" s="205">
        <f t="shared" si="1"/>
        <v>324838527</v>
      </c>
      <c r="L16" s="206">
        <f t="shared" si="2"/>
        <v>342076625</v>
      </c>
      <c r="M16" s="206">
        <f t="shared" si="3"/>
        <v>17238098</v>
      </c>
      <c r="N16" s="197"/>
      <c r="O16" s="197"/>
      <c r="P16" s="197"/>
      <c r="Q16" s="197"/>
      <c r="R16" s="197"/>
      <c r="S16" s="197"/>
      <c r="T16" s="197"/>
      <c r="U16" s="197"/>
      <c r="V16" s="197"/>
      <c r="W16" s="197"/>
      <c r="X16" s="197"/>
      <c r="Y16" s="197"/>
    </row>
    <row r="17" spans="1:25" ht="15.75" x14ac:dyDescent="0.25">
      <c r="B17" s="49">
        <f t="shared" si="4"/>
        <v>2001</v>
      </c>
      <c r="C17" s="196">
        <v>141132094</v>
      </c>
      <c r="D17" s="197">
        <v>195209487</v>
      </c>
      <c r="F17" s="196">
        <v>131634964</v>
      </c>
      <c r="G17" s="197">
        <v>181960972</v>
      </c>
      <c r="J17" s="204">
        <f t="shared" si="0"/>
        <v>2001</v>
      </c>
      <c r="K17" s="205">
        <f t="shared" si="1"/>
        <v>336341581</v>
      </c>
      <c r="L17" s="206">
        <f t="shared" si="2"/>
        <v>313595936</v>
      </c>
      <c r="M17" s="206">
        <f t="shared" si="3"/>
        <v>-22745645</v>
      </c>
      <c r="N17" s="197"/>
      <c r="O17" s="197"/>
      <c r="P17" s="197"/>
      <c r="Q17" s="197"/>
      <c r="R17" s="197"/>
      <c r="S17" s="197"/>
      <c r="T17" s="197"/>
      <c r="U17" s="197"/>
      <c r="V17" s="197"/>
      <c r="W17" s="197"/>
      <c r="X17" s="197"/>
      <c r="Y17" s="197"/>
    </row>
    <row r="18" spans="1:25" ht="15.75" x14ac:dyDescent="0.25">
      <c r="A18" s="49">
        <v>1</v>
      </c>
      <c r="B18" s="49">
        <f t="shared" si="4"/>
        <v>2002</v>
      </c>
      <c r="C18" s="196">
        <v>132552210</v>
      </c>
      <c r="D18" s="197">
        <v>184202229</v>
      </c>
      <c r="F18" s="196">
        <v>120502009</v>
      </c>
      <c r="G18" s="197">
        <v>167456572</v>
      </c>
      <c r="J18" s="204">
        <f>J19-1</f>
        <v>2002</v>
      </c>
      <c r="K18" s="205">
        <f t="shared" si="1"/>
        <v>316754439</v>
      </c>
      <c r="L18" s="206">
        <f t="shared" si="2"/>
        <v>287958581</v>
      </c>
      <c r="M18" s="206">
        <f t="shared" si="3"/>
        <v>-28795858</v>
      </c>
      <c r="N18" s="197"/>
      <c r="O18" s="197"/>
      <c r="P18" s="197"/>
      <c r="Q18" s="197"/>
      <c r="R18" s="197"/>
      <c r="S18" s="197"/>
      <c r="T18" s="197"/>
      <c r="U18" s="197"/>
      <c r="V18" s="197"/>
      <c r="W18" s="197"/>
      <c r="X18" s="197"/>
      <c r="Y18" s="197"/>
    </row>
    <row r="19" spans="1:25" ht="15.75" x14ac:dyDescent="0.25">
      <c r="A19" s="49">
        <v>1</v>
      </c>
      <c r="B19" s="49">
        <f t="shared" si="4"/>
        <v>2003</v>
      </c>
      <c r="C19" s="196">
        <v>134113130</v>
      </c>
      <c r="D19" s="197">
        <v>188309256</v>
      </c>
      <c r="F19" s="196">
        <v>121921027</v>
      </c>
      <c r="G19" s="197">
        <v>171190233</v>
      </c>
      <c r="J19" s="204">
        <f t="shared" ref="J19:J26" si="5">J20-1</f>
        <v>2003</v>
      </c>
      <c r="K19" s="205">
        <f t="shared" si="1"/>
        <v>322422386</v>
      </c>
      <c r="L19" s="206">
        <f t="shared" si="2"/>
        <v>293111260</v>
      </c>
      <c r="M19" s="206">
        <f t="shared" si="3"/>
        <v>-29311126</v>
      </c>
      <c r="N19" s="197"/>
      <c r="O19" s="197"/>
      <c r="P19" s="197"/>
      <c r="Q19" s="197"/>
      <c r="R19" s="197"/>
      <c r="S19" s="197"/>
      <c r="T19" s="197"/>
      <c r="U19" s="197"/>
      <c r="V19" s="197"/>
      <c r="W19" s="197"/>
      <c r="X19" s="197"/>
      <c r="Y19" s="197"/>
    </row>
    <row r="20" spans="1:25" ht="15.75" x14ac:dyDescent="0.25">
      <c r="A20" s="49">
        <f t="shared" ref="A20:A28" si="6">A19+1</f>
        <v>2</v>
      </c>
      <c r="B20" s="49">
        <f t="shared" si="4"/>
        <v>2004</v>
      </c>
      <c r="C20" s="196">
        <v>140911426</v>
      </c>
      <c r="D20" s="197">
        <v>200715264</v>
      </c>
      <c r="F20" s="196">
        <v>138642729</v>
      </c>
      <c r="G20" s="197">
        <v>197605409</v>
      </c>
      <c r="J20" s="204">
        <f t="shared" si="5"/>
        <v>2004</v>
      </c>
      <c r="K20" s="205">
        <f t="shared" si="1"/>
        <v>341626690</v>
      </c>
      <c r="L20" s="206">
        <f t="shared" si="2"/>
        <v>336248138</v>
      </c>
      <c r="M20" s="206">
        <f t="shared" si="3"/>
        <v>-5378552</v>
      </c>
      <c r="N20" s="197"/>
      <c r="O20" s="197"/>
      <c r="P20" s="197"/>
      <c r="Q20" s="197"/>
      <c r="R20" s="197"/>
      <c r="S20" s="197"/>
      <c r="T20" s="197"/>
      <c r="U20" s="197"/>
      <c r="V20" s="197"/>
      <c r="W20" s="197"/>
      <c r="X20" s="197"/>
      <c r="Y20" s="197"/>
    </row>
    <row r="21" spans="1:25" ht="15.75" x14ac:dyDescent="0.25">
      <c r="A21" s="49">
        <f t="shared" si="6"/>
        <v>3</v>
      </c>
      <c r="B21" s="49">
        <f t="shared" si="4"/>
        <v>2005</v>
      </c>
      <c r="C21" s="196">
        <v>150729735</v>
      </c>
      <c r="D21" s="197">
        <v>215965102</v>
      </c>
      <c r="F21" s="196">
        <v>155027576</v>
      </c>
      <c r="G21" s="197">
        <v>222326329</v>
      </c>
      <c r="J21" s="204">
        <f t="shared" si="5"/>
        <v>2005</v>
      </c>
      <c r="K21" s="205">
        <f t="shared" si="1"/>
        <v>366694837</v>
      </c>
      <c r="L21" s="206">
        <f t="shared" si="2"/>
        <v>377353905</v>
      </c>
      <c r="M21" s="206">
        <f t="shared" si="3"/>
        <v>10659068</v>
      </c>
      <c r="N21" s="197"/>
      <c r="O21" s="197"/>
      <c r="P21" s="197"/>
      <c r="Q21" s="197"/>
      <c r="R21" s="197"/>
      <c r="S21" s="197"/>
      <c r="T21" s="197"/>
      <c r="U21" s="197"/>
      <c r="V21" s="197"/>
      <c r="W21" s="197"/>
      <c r="X21" s="197"/>
      <c r="Y21" s="197"/>
    </row>
    <row r="22" spans="1:25" ht="15.75" x14ac:dyDescent="0.25">
      <c r="A22" s="49">
        <f t="shared" si="6"/>
        <v>4</v>
      </c>
      <c r="B22" s="49">
        <f t="shared" si="4"/>
        <v>2006</v>
      </c>
      <c r="C22" s="196">
        <v>163158362</v>
      </c>
      <c r="D22" s="197">
        <v>231701095</v>
      </c>
      <c r="F22" s="196">
        <v>173031262</v>
      </c>
      <c r="G22" s="197">
        <v>246396433</v>
      </c>
      <c r="J22" s="204">
        <f t="shared" si="5"/>
        <v>2006</v>
      </c>
      <c r="K22" s="205">
        <f t="shared" si="1"/>
        <v>394859457</v>
      </c>
      <c r="L22" s="206">
        <f t="shared" si="2"/>
        <v>419427695</v>
      </c>
      <c r="M22" s="206">
        <f t="shared" si="3"/>
        <v>24568238</v>
      </c>
      <c r="N22" s="197"/>
      <c r="O22" s="197"/>
      <c r="P22" s="197"/>
      <c r="Q22" s="197"/>
      <c r="R22" s="197"/>
      <c r="S22" s="197"/>
      <c r="T22" s="197"/>
      <c r="U22" s="197"/>
      <c r="V22" s="197"/>
      <c r="W22" s="197"/>
      <c r="X22" s="197"/>
      <c r="Y22" s="197"/>
    </row>
    <row r="23" spans="1:25" ht="15.75" x14ac:dyDescent="0.25">
      <c r="A23" s="49">
        <f t="shared" si="6"/>
        <v>5</v>
      </c>
      <c r="B23" s="49">
        <f t="shared" si="4"/>
        <v>2007</v>
      </c>
      <c r="C23" s="196">
        <v>178524378</v>
      </c>
      <c r="D23" s="197">
        <v>250062262</v>
      </c>
      <c r="F23" s="196">
        <v>206930704</v>
      </c>
      <c r="G23" s="197">
        <v>292102211</v>
      </c>
      <c r="J23" s="204">
        <f t="shared" si="5"/>
        <v>2007</v>
      </c>
      <c r="K23" s="205">
        <f t="shared" si="1"/>
        <v>428586640</v>
      </c>
      <c r="L23" s="206">
        <f t="shared" si="2"/>
        <v>499032915</v>
      </c>
      <c r="M23" s="206">
        <f t="shared" si="3"/>
        <v>70446275</v>
      </c>
      <c r="N23" s="197"/>
      <c r="O23" s="197"/>
      <c r="P23" s="197"/>
      <c r="Q23" s="197"/>
      <c r="R23" s="197"/>
      <c r="S23" s="197"/>
      <c r="T23" s="197"/>
      <c r="U23" s="197"/>
      <c r="V23" s="197"/>
      <c r="W23" s="197"/>
      <c r="X23" s="197"/>
      <c r="Y23" s="197"/>
    </row>
    <row r="24" spans="1:25" ht="15.75" x14ac:dyDescent="0.25">
      <c r="A24" s="49">
        <f t="shared" si="6"/>
        <v>6</v>
      </c>
      <c r="B24" s="49">
        <f t="shared" si="4"/>
        <v>2008</v>
      </c>
      <c r="C24" s="196">
        <v>195954328</v>
      </c>
      <c r="D24" s="197">
        <v>264634222</v>
      </c>
      <c r="F24" s="196">
        <v>199721639</v>
      </c>
      <c r="G24" s="197">
        <v>272104409</v>
      </c>
      <c r="J24" s="204">
        <f t="shared" si="5"/>
        <v>2008</v>
      </c>
      <c r="K24" s="205">
        <f t="shared" si="1"/>
        <v>460588550</v>
      </c>
      <c r="L24" s="206">
        <f t="shared" si="2"/>
        <v>471826048</v>
      </c>
      <c r="M24" s="206">
        <f t="shared" si="3"/>
        <v>11237498</v>
      </c>
      <c r="N24" s="197"/>
      <c r="O24" s="197"/>
      <c r="P24" s="197"/>
      <c r="Q24" s="197"/>
      <c r="R24" s="197"/>
      <c r="S24" s="197"/>
      <c r="T24" s="197"/>
      <c r="U24" s="197"/>
      <c r="V24" s="197"/>
      <c r="W24" s="197"/>
      <c r="X24" s="197"/>
      <c r="Y24" s="197"/>
    </row>
    <row r="25" spans="1:25" ht="15.75" x14ac:dyDescent="0.25">
      <c r="A25" s="49">
        <f t="shared" si="6"/>
        <v>7</v>
      </c>
      <c r="B25" s="49">
        <f t="shared" si="4"/>
        <v>2009</v>
      </c>
      <c r="C25" s="197">
        <v>207817811</v>
      </c>
      <c r="D25" s="197">
        <v>274649310</v>
      </c>
      <c r="F25" s="197">
        <v>152670408</v>
      </c>
      <c r="G25" s="197">
        <v>200973673</v>
      </c>
      <c r="J25" s="204">
        <f t="shared" si="5"/>
        <v>2009</v>
      </c>
      <c r="K25" s="205">
        <f t="shared" si="1"/>
        <v>482467121</v>
      </c>
      <c r="L25" s="206">
        <f t="shared" si="2"/>
        <v>353644081</v>
      </c>
      <c r="M25" s="206">
        <f t="shared" si="3"/>
        <v>-128823040</v>
      </c>
      <c r="N25" s="197"/>
      <c r="O25" s="197"/>
      <c r="P25" s="197"/>
      <c r="Q25" s="197"/>
      <c r="R25" s="197"/>
      <c r="S25" s="197"/>
      <c r="T25" s="197"/>
      <c r="U25" s="197"/>
      <c r="V25" s="197"/>
      <c r="W25" s="197"/>
      <c r="X25" s="197"/>
      <c r="Y25" s="197"/>
    </row>
    <row r="26" spans="1:25" ht="15.75" x14ac:dyDescent="0.25">
      <c r="A26" s="49">
        <f t="shared" si="6"/>
        <v>8</v>
      </c>
      <c r="B26" s="49">
        <f t="shared" si="4"/>
        <v>2010</v>
      </c>
      <c r="C26" s="197">
        <v>218258404</v>
      </c>
      <c r="D26" s="199">
        <v>284617448</v>
      </c>
      <c r="F26" s="197">
        <v>171984696</v>
      </c>
      <c r="G26" s="199">
        <v>223281274</v>
      </c>
      <c r="J26" s="204">
        <f t="shared" si="5"/>
        <v>2010</v>
      </c>
      <c r="K26" s="205">
        <f t="shared" si="1"/>
        <v>502875852</v>
      </c>
      <c r="L26" s="206">
        <f t="shared" si="2"/>
        <v>395265970</v>
      </c>
      <c r="M26" s="206">
        <f t="shared" si="3"/>
        <v>-107609882</v>
      </c>
      <c r="N26" s="198"/>
      <c r="O26" s="198"/>
      <c r="P26" s="198"/>
      <c r="Q26" s="198"/>
      <c r="R26" s="198"/>
      <c r="S26" s="198"/>
      <c r="T26" s="198"/>
      <c r="U26" s="198"/>
      <c r="V26" s="198"/>
      <c r="W26" s="198"/>
      <c r="X26" s="198"/>
      <c r="Y26" s="198"/>
    </row>
    <row r="27" spans="1:25" ht="15.75" x14ac:dyDescent="0.25">
      <c r="A27" s="49">
        <f t="shared" si="6"/>
        <v>9</v>
      </c>
      <c r="B27" s="49">
        <f t="shared" si="4"/>
        <v>2011</v>
      </c>
      <c r="C27" s="197">
        <v>228755012</v>
      </c>
      <c r="D27" s="197">
        <v>295075720</v>
      </c>
      <c r="F27" s="197">
        <v>204473260</v>
      </c>
      <c r="G27" s="197">
        <v>262881439</v>
      </c>
      <c r="J27" s="204">
        <f>J28-1</f>
        <v>2011</v>
      </c>
      <c r="K27" s="205">
        <f t="shared" si="1"/>
        <v>523830732</v>
      </c>
      <c r="L27" s="206">
        <f t="shared" si="2"/>
        <v>467354699</v>
      </c>
      <c r="M27" s="206">
        <f t="shared" si="3"/>
        <v>-56476033</v>
      </c>
      <c r="N27" s="197"/>
      <c r="O27" s="197"/>
      <c r="P27" s="197"/>
      <c r="Q27" s="197"/>
      <c r="R27" s="197"/>
      <c r="S27" s="197"/>
      <c r="T27" s="197"/>
      <c r="U27" s="197"/>
      <c r="V27" s="197"/>
      <c r="W27" s="197"/>
      <c r="X27" s="197"/>
      <c r="Y27" s="197"/>
    </row>
    <row r="28" spans="1:25" ht="15.75" x14ac:dyDescent="0.25">
      <c r="A28" s="49">
        <f t="shared" si="6"/>
        <v>10</v>
      </c>
      <c r="B28" s="49">
        <f t="shared" si="4"/>
        <v>2012</v>
      </c>
      <c r="C28" s="197">
        <v>238869992</v>
      </c>
      <c r="D28" s="197">
        <v>302365698</v>
      </c>
      <c r="F28" s="197">
        <v>200149332</v>
      </c>
      <c r="G28" s="197">
        <v>252131503</v>
      </c>
      <c r="J28" s="204">
        <v>2012</v>
      </c>
      <c r="K28" s="205">
        <f t="shared" si="1"/>
        <v>541235690</v>
      </c>
      <c r="L28" s="206">
        <f t="shared" si="2"/>
        <v>452280835</v>
      </c>
      <c r="M28" s="206">
        <f t="shared" si="3"/>
        <v>-88954855</v>
      </c>
      <c r="N28" s="197"/>
      <c r="O28" s="197"/>
      <c r="P28" s="197"/>
      <c r="Q28" s="197"/>
      <c r="R28" s="197"/>
      <c r="S28" s="197"/>
      <c r="T28" s="197"/>
      <c r="U28" s="197"/>
      <c r="V28" s="197"/>
      <c r="W28" s="197"/>
      <c r="X28" s="197"/>
      <c r="Y28" s="197"/>
    </row>
    <row r="29" spans="1:25" ht="6.95" customHeight="1" x14ac:dyDescent="0.25">
      <c r="J29" s="195"/>
      <c r="K29" s="195"/>
      <c r="L29" s="195"/>
      <c r="M29" s="195"/>
    </row>
    <row r="30" spans="1:25" ht="15.75" x14ac:dyDescent="0.25">
      <c r="J30" s="195" t="s">
        <v>117</v>
      </c>
      <c r="K30" s="195"/>
      <c r="L30" s="195"/>
      <c r="M30" s="195"/>
    </row>
    <row r="31" spans="1:25" ht="15.75" x14ac:dyDescent="0.25">
      <c r="J31" s="195" t="s">
        <v>120</v>
      </c>
      <c r="K31" s="195"/>
      <c r="L31" s="195"/>
      <c r="M31" s="195"/>
    </row>
  </sheetData>
  <mergeCells count="1">
    <mergeCell ref="J8:M8"/>
  </mergeCells>
  <pageMargins left="0.25" right="0.25" top="0.75" bottom="0.75" header="0.3" footer="0.3"/>
  <pageSetup paperSize="3" orientation="landscape" r:id="rId1"/>
  <headerFooter differentFirst="1">
    <oddHeader>&amp;C&amp;20Attachment A</oddHeader>
    <oddFooter>&amp;R&amp;P</oddFooter>
    <firstHeader>&amp;C&amp;20Attachment A&amp;16
&amp;18Analysis of Unfunded Pension Liability and Payment Options&amp;16
6/30/13 Actuarial Valuation
Prepared October 2014</first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J8" sqref="J8"/>
    </sheetView>
  </sheetViews>
  <sheetFormatPr defaultRowHeight="15" x14ac:dyDescent="0.25"/>
  <sheetData/>
  <pageMargins left="0.25" right="0.25" top="0.75" bottom="0.75" header="0.3" footer="0.3"/>
  <pageSetup paperSize="3" orientation="landscape" verticalDpi="1200" r:id="rId1"/>
  <headerFooter differentFirst="1">
    <oddFooter>&amp;R&amp;P</oddFooter>
    <firstHeader>&amp;C&amp;20Attachment A&amp;16
&amp;18Analysis of Unfunded Pension Liability and Payment Options&amp;16
6/30/13 Actuarial Valuation
Prepared October 2014</first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opLeftCell="A7" workbookViewId="0">
      <selection activeCell="E17" sqref="E17"/>
    </sheetView>
  </sheetViews>
  <sheetFormatPr defaultColWidth="9.140625" defaultRowHeight="15" x14ac:dyDescent="0.25"/>
  <cols>
    <col min="1" max="1" width="9.140625" style="49"/>
    <col min="2" max="2" width="20.5703125" style="49" customWidth="1"/>
    <col min="3" max="4" width="9.140625" style="49"/>
    <col min="5" max="5" width="13" style="49" bestFit="1" customWidth="1"/>
    <col min="6" max="6" width="9.140625" style="49"/>
    <col min="7" max="7" width="9.7109375" style="49" bestFit="1" customWidth="1"/>
    <col min="8" max="8" width="14" style="49" bestFit="1" customWidth="1"/>
    <col min="9" max="16384" width="9.140625" style="49"/>
  </cols>
  <sheetData>
    <row r="1" spans="1:18" ht="15.75" thickBot="1" x14ac:dyDescent="0.3">
      <c r="Q1" s="50"/>
    </row>
    <row r="2" spans="1:18" ht="16.5" thickTop="1" thickBot="1" x14ac:dyDescent="0.3">
      <c r="K2" s="246" t="s">
        <v>141</v>
      </c>
      <c r="L2" s="244">
        <v>7.4999999999999997E-2</v>
      </c>
      <c r="Q2" s="50"/>
    </row>
    <row r="3" spans="1:18" ht="16.5" thickTop="1" thickBot="1" x14ac:dyDescent="0.3">
      <c r="K3" s="247" t="s">
        <v>142</v>
      </c>
      <c r="L3" s="244">
        <v>0.03</v>
      </c>
      <c r="Q3" s="50"/>
    </row>
    <row r="4" spans="1:18" ht="15.75" thickTop="1" x14ac:dyDescent="0.25">
      <c r="K4" s="248"/>
      <c r="L4" s="250"/>
      <c r="Q4" s="50"/>
    </row>
    <row r="5" spans="1:18" x14ac:dyDescent="0.25">
      <c r="K5" s="248" t="s">
        <v>143</v>
      </c>
      <c r="L5" s="250">
        <v>5</v>
      </c>
      <c r="Q5" s="50"/>
    </row>
    <row r="6" spans="1:18" x14ac:dyDescent="0.25">
      <c r="K6" s="248" t="s">
        <v>144</v>
      </c>
      <c r="L6" s="251">
        <v>26</v>
      </c>
      <c r="Q6" s="50"/>
    </row>
    <row r="7" spans="1:18" x14ac:dyDescent="0.25">
      <c r="K7" s="248" t="s">
        <v>145</v>
      </c>
      <c r="L7" s="252">
        <v>4.5985546446254109</v>
      </c>
      <c r="Q7" s="50"/>
    </row>
    <row r="8" spans="1:18" ht="26.25" x14ac:dyDescent="0.4">
      <c r="B8" s="214" t="s">
        <v>129</v>
      </c>
      <c r="K8" s="249" t="s">
        <v>146</v>
      </c>
      <c r="L8" s="253">
        <v>15.461009016959615</v>
      </c>
      <c r="Q8" s="50"/>
    </row>
    <row r="9" spans="1:18" ht="15.75" thickBot="1" x14ac:dyDescent="0.3">
      <c r="Q9" s="50"/>
    </row>
    <row r="10" spans="1:18" ht="19.5" thickBot="1" x14ac:dyDescent="0.35">
      <c r="B10" s="618" t="s">
        <v>122</v>
      </c>
      <c r="C10" s="619"/>
      <c r="D10" s="619"/>
      <c r="E10" s="619"/>
      <c r="F10" s="619"/>
      <c r="G10" s="619"/>
      <c r="H10" s="619"/>
      <c r="I10" s="619"/>
      <c r="J10" s="619"/>
      <c r="K10" s="619"/>
      <c r="L10" s="619"/>
      <c r="M10" s="620"/>
      <c r="N10" s="613" t="s">
        <v>91</v>
      </c>
      <c r="O10" s="613"/>
      <c r="P10" s="613"/>
      <c r="Q10" s="613"/>
      <c r="R10" s="614"/>
    </row>
    <row r="11" spans="1:18" ht="15.75" thickBot="1" x14ac:dyDescent="0.3">
      <c r="B11" s="207"/>
      <c r="C11" s="208" t="s">
        <v>110</v>
      </c>
      <c r="D11" s="209"/>
      <c r="E11" s="207"/>
      <c r="F11" s="208" t="s">
        <v>56</v>
      </c>
      <c r="G11" s="209"/>
      <c r="H11" s="207"/>
      <c r="I11" s="208" t="s">
        <v>57</v>
      </c>
      <c r="J11" s="209"/>
      <c r="K11" s="30"/>
      <c r="L11" s="254" t="s">
        <v>58</v>
      </c>
      <c r="M11" s="254"/>
      <c r="N11" s="615" t="s">
        <v>65</v>
      </c>
      <c r="O11" s="577"/>
      <c r="P11" s="577"/>
      <c r="Q11" s="577"/>
      <c r="R11" s="616"/>
    </row>
    <row r="12" spans="1:18" ht="15.75" thickBot="1" x14ac:dyDescent="0.3">
      <c r="B12" s="593" t="s">
        <v>132</v>
      </c>
      <c r="C12" s="594"/>
      <c r="D12" s="609"/>
      <c r="E12" s="593" t="s">
        <v>132</v>
      </c>
      <c r="F12" s="594"/>
      <c r="G12" s="609"/>
      <c r="H12" s="593" t="s">
        <v>132</v>
      </c>
      <c r="I12" s="594"/>
      <c r="J12" s="609"/>
      <c r="K12" s="610" t="s">
        <v>133</v>
      </c>
      <c r="L12" s="611"/>
      <c r="M12" s="612"/>
      <c r="N12" s="566" t="s">
        <v>53</v>
      </c>
      <c r="O12" s="566"/>
      <c r="P12" s="566"/>
      <c r="Q12" s="566"/>
      <c r="R12" s="617"/>
    </row>
    <row r="13" spans="1:18" x14ac:dyDescent="0.25">
      <c r="B13" s="74" t="s">
        <v>49</v>
      </c>
      <c r="C13" s="75" t="s">
        <v>50</v>
      </c>
      <c r="D13" s="76" t="s">
        <v>51</v>
      </c>
      <c r="E13" s="74" t="s">
        <v>49</v>
      </c>
      <c r="F13" s="75" t="s">
        <v>50</v>
      </c>
      <c r="G13" s="76" t="s">
        <v>51</v>
      </c>
      <c r="H13" s="74" t="s">
        <v>49</v>
      </c>
      <c r="I13" s="75" t="s">
        <v>50</v>
      </c>
      <c r="J13" s="76" t="s">
        <v>51</v>
      </c>
      <c r="K13" s="77" t="s">
        <v>49</v>
      </c>
      <c r="L13" s="78" t="s">
        <v>50</v>
      </c>
      <c r="M13" s="78" t="s">
        <v>51</v>
      </c>
      <c r="N13" s="139" t="s">
        <v>49</v>
      </c>
      <c r="O13" s="123" t="s">
        <v>50</v>
      </c>
      <c r="P13" s="123" t="s">
        <v>51</v>
      </c>
      <c r="Q13" s="118" t="s">
        <v>77</v>
      </c>
      <c r="R13" s="140" t="s">
        <v>78</v>
      </c>
    </row>
    <row r="14" spans="1:18" x14ac:dyDescent="0.25">
      <c r="A14" s="49">
        <v>2013</v>
      </c>
      <c r="B14" s="87"/>
      <c r="C14" s="88"/>
      <c r="D14" s="88"/>
      <c r="E14" s="87"/>
      <c r="F14" s="88"/>
      <c r="G14" s="88"/>
      <c r="H14" s="87"/>
      <c r="I14" s="88"/>
      <c r="J14" s="89"/>
      <c r="K14" s="69"/>
      <c r="L14" s="70"/>
      <c r="M14" s="70"/>
      <c r="N14" s="148">
        <v>163203452</v>
      </c>
      <c r="O14" s="125"/>
      <c r="P14" s="125"/>
      <c r="Q14" s="136">
        <v>437688131</v>
      </c>
      <c r="R14" s="141">
        <v>0.62712388013098763</v>
      </c>
    </row>
    <row r="15" spans="1:18" ht="15.75" thickBot="1" x14ac:dyDescent="0.3">
      <c r="A15" s="49">
        <v>2014</v>
      </c>
      <c r="B15" s="74"/>
      <c r="C15" s="75"/>
      <c r="D15" s="75"/>
      <c r="E15" s="74"/>
      <c r="F15" s="75"/>
      <c r="G15" s="75"/>
      <c r="H15" s="74"/>
      <c r="I15" s="75"/>
      <c r="J15" s="76"/>
      <c r="K15" s="77"/>
      <c r="L15" s="78"/>
      <c r="M15" s="78"/>
      <c r="N15" s="149">
        <v>168299277</v>
      </c>
      <c r="O15" s="70"/>
      <c r="P15" s="70"/>
      <c r="Q15" s="121">
        <v>461454596.5133</v>
      </c>
      <c r="R15" s="142">
        <v>0.63528529508287324</v>
      </c>
    </row>
    <row r="16" spans="1:18" ht="16.5" thickTop="1" thickBot="1" x14ac:dyDescent="0.3">
      <c r="A16" s="49">
        <v>2016</v>
      </c>
      <c r="B16" s="200">
        <v>117664444</v>
      </c>
      <c r="C16" s="245">
        <v>24</v>
      </c>
      <c r="D16" s="56">
        <v>7958766.2193071069</v>
      </c>
      <c r="E16" s="200">
        <v>998939</v>
      </c>
      <c r="F16" s="245">
        <v>29</v>
      </c>
      <c r="G16" s="56">
        <v>61009.264946880176</v>
      </c>
      <c r="H16" s="200">
        <v>10511986</v>
      </c>
      <c r="I16" s="245">
        <v>29</v>
      </c>
      <c r="J16" s="55">
        <v>642009.71129557979</v>
      </c>
      <c r="K16" s="200">
        <v>43171248</v>
      </c>
      <c r="L16" s="245">
        <v>30</v>
      </c>
      <c r="M16" s="56">
        <v>607205.11097960989</v>
      </c>
      <c r="N16" s="201">
        <v>172346617</v>
      </c>
      <c r="O16" s="71">
        <v>30</v>
      </c>
      <c r="P16" s="120">
        <v>9268990.3065291755</v>
      </c>
      <c r="Q16" s="136">
        <v>486511581.1039722</v>
      </c>
      <c r="R16" s="141">
        <v>0.64575022734521936</v>
      </c>
    </row>
    <row r="17" spans="1:18" ht="15.75" thickTop="1" x14ac:dyDescent="0.25">
      <c r="A17" s="49">
        <v>2017</v>
      </c>
      <c r="B17" s="54">
        <v>118237452.85242462</v>
      </c>
      <c r="C17" s="63">
        <v>23</v>
      </c>
      <c r="D17" s="56">
        <v>8197529.2058863221</v>
      </c>
      <c r="E17" s="54">
        <v>1010603.6727709693</v>
      </c>
      <c r="F17" s="63">
        <v>28</v>
      </c>
      <c r="G17" s="56">
        <v>62839.542895286584</v>
      </c>
      <c r="H17" s="54">
        <v>10634735.113672616</v>
      </c>
      <c r="I17" s="63">
        <v>28</v>
      </c>
      <c r="J17" s="55">
        <v>661270.00263444707</v>
      </c>
      <c r="K17" s="54">
        <v>45779527.941336527</v>
      </c>
      <c r="L17" s="63">
        <v>29</v>
      </c>
      <c r="M17" s="56">
        <v>1250842.5286179965</v>
      </c>
      <c r="N17" s="143">
        <v>175662319.58020473</v>
      </c>
      <c r="O17" s="63">
        <v>29</v>
      </c>
      <c r="P17" s="72">
        <v>10172481.280034052</v>
      </c>
      <c r="Q17" s="121">
        <v>512929159.95791787</v>
      </c>
      <c r="R17" s="142">
        <v>0.65753103295079474</v>
      </c>
    </row>
    <row r="18" spans="1:18" x14ac:dyDescent="0.25">
      <c r="A18" s="49">
        <v>2018</v>
      </c>
      <c r="B18" s="54">
        <v>118605882.63535382</v>
      </c>
      <c r="C18" s="63">
        <v>22</v>
      </c>
      <c r="D18" s="56">
        <v>8443455.0820629112</v>
      </c>
      <c r="E18" s="54">
        <v>1021245.5234328904</v>
      </c>
      <c r="F18" s="63">
        <v>27</v>
      </c>
      <c r="G18" s="56">
        <v>64724.729182145187</v>
      </c>
      <c r="H18" s="54">
        <v>10746720.915780857</v>
      </c>
      <c r="I18" s="63">
        <v>27</v>
      </c>
      <c r="J18" s="55">
        <v>681108.10271348048</v>
      </c>
      <c r="K18" s="54">
        <v>47916091.400090009</v>
      </c>
      <c r="L18" s="63">
        <v>28</v>
      </c>
      <c r="M18" s="56">
        <v>1932551.7067148043</v>
      </c>
      <c r="N18" s="143">
        <v>178289940.4746576</v>
      </c>
      <c r="O18" s="63">
        <v>28</v>
      </c>
      <c r="P18" s="72">
        <v>11121839.62067334</v>
      </c>
      <c r="Q18" s="121">
        <v>540781213.34363282</v>
      </c>
      <c r="R18" s="142">
        <v>0.6703104026630351</v>
      </c>
    </row>
    <row r="19" spans="1:18" x14ac:dyDescent="0.25">
      <c r="A19" s="49">
        <v>2019</v>
      </c>
      <c r="B19" s="54">
        <v>118746963.27657263</v>
      </c>
      <c r="C19" s="63">
        <v>21</v>
      </c>
      <c r="D19" s="56">
        <v>8696758.7345247976</v>
      </c>
      <c r="E19" s="54">
        <v>1030730.9101505786</v>
      </c>
      <c r="F19" s="63">
        <v>26</v>
      </c>
      <c r="G19" s="56">
        <v>66666.471057609553</v>
      </c>
      <c r="H19" s="54">
        <v>10846537.073104702</v>
      </c>
      <c r="I19" s="63">
        <v>26</v>
      </c>
      <c r="J19" s="55">
        <v>701541.34579488507</v>
      </c>
      <c r="K19" s="54">
        <v>49506085.998668507</v>
      </c>
      <c r="L19" s="63">
        <v>27</v>
      </c>
      <c r="M19" s="56">
        <v>2654037.6772216647</v>
      </c>
      <c r="N19" s="143">
        <v>180130317.2584964</v>
      </c>
      <c r="O19" s="63">
        <v>27</v>
      </c>
      <c r="P19" s="72">
        <v>12119004.228598956</v>
      </c>
      <c r="Q19" s="121">
        <v>570145633.22819209</v>
      </c>
      <c r="R19" s="142">
        <v>0.68406262056487244</v>
      </c>
    </row>
    <row r="20" spans="1:18" x14ac:dyDescent="0.25">
      <c r="A20" s="49">
        <v>2020</v>
      </c>
      <c r="B20" s="54">
        <v>118635994.14918987</v>
      </c>
      <c r="C20" s="63">
        <v>20</v>
      </c>
      <c r="D20" s="56">
        <v>8957661.4965605438</v>
      </c>
      <c r="E20" s="54">
        <v>1038914.4600459</v>
      </c>
      <c r="F20" s="63">
        <v>25</v>
      </c>
      <c r="G20" s="56">
        <v>68666.465189337832</v>
      </c>
      <c r="H20" s="54">
        <v>10932653.804887043</v>
      </c>
      <c r="I20" s="63">
        <v>25</v>
      </c>
      <c r="J20" s="55">
        <v>722587.58616873145</v>
      </c>
      <c r="K20" s="54">
        <v>50467277.616407186</v>
      </c>
      <c r="L20" s="63">
        <v>26</v>
      </c>
      <c r="M20" s="56">
        <v>3417073.5094228932</v>
      </c>
      <c r="N20" s="143">
        <v>181074840.03053001</v>
      </c>
      <c r="O20" s="63">
        <v>26</v>
      </c>
      <c r="P20" s="72">
        <v>13165989.057341505</v>
      </c>
      <c r="Q20" s="121">
        <v>601104541.11248291</v>
      </c>
      <c r="R20" s="142">
        <v>0.69876314742954837</v>
      </c>
    </row>
    <row r="21" spans="1:18" x14ac:dyDescent="0.25">
      <c r="A21" s="49">
        <v>2021</v>
      </c>
      <c r="B21" s="54">
        <v>118246192.59605964</v>
      </c>
      <c r="C21" s="63">
        <v>19</v>
      </c>
      <c r="D21" s="56">
        <v>9226391.3414573576</v>
      </c>
      <c r="E21" s="54">
        <v>1045638.1381323913</v>
      </c>
      <c r="F21" s="63">
        <v>24</v>
      </c>
      <c r="G21" s="56">
        <v>70726.459145017958</v>
      </c>
      <c r="H21" s="54">
        <v>11003408.085092044</v>
      </c>
      <c r="I21" s="63">
        <v>24</v>
      </c>
      <c r="J21" s="55">
        <v>744265.21375379327</v>
      </c>
      <c r="K21" s="54">
        <v>50709426.216229849</v>
      </c>
      <c r="L21" s="63">
        <v>25</v>
      </c>
      <c r="M21" s="56">
        <v>3519585.7147055799</v>
      </c>
      <c r="N21" s="143">
        <v>181004665.03551391</v>
      </c>
      <c r="O21" s="63">
        <v>25</v>
      </c>
      <c r="P21" s="72">
        <v>13560968.729061749</v>
      </c>
      <c r="Q21" s="121">
        <v>633744517.69489074</v>
      </c>
      <c r="R21" s="142">
        <v>0.71438859038358327</v>
      </c>
    </row>
    <row r="22" spans="1:18" x14ac:dyDescent="0.25">
      <c r="A22" s="49">
        <v>2022</v>
      </c>
      <c r="B22" s="54">
        <v>117548530.89301506</v>
      </c>
      <c r="C22" s="63">
        <v>18</v>
      </c>
      <c r="D22" s="56">
        <v>9503183.0817010794</v>
      </c>
      <c r="E22" s="54">
        <v>1050730.2448828609</v>
      </c>
      <c r="F22" s="63">
        <v>23</v>
      </c>
      <c r="G22" s="56">
        <v>72848.252919368519</v>
      </c>
      <c r="H22" s="54">
        <v>11056993.093657574</v>
      </c>
      <c r="I22" s="63">
        <v>23</v>
      </c>
      <c r="J22" s="55">
        <v>766593.17016640748</v>
      </c>
      <c r="K22" s="54">
        <v>50863449.044396967</v>
      </c>
      <c r="L22" s="63">
        <v>24</v>
      </c>
      <c r="M22" s="56">
        <v>3625173.2861467474</v>
      </c>
      <c r="N22" s="143">
        <v>180519703.27595246</v>
      </c>
      <c r="O22" s="63">
        <v>24</v>
      </c>
      <c r="P22" s="72">
        <v>13967797.790933602</v>
      </c>
      <c r="Q22" s="121">
        <v>668156845.00572336</v>
      </c>
      <c r="R22" s="142">
        <v>0.72982435991596228</v>
      </c>
    </row>
    <row r="23" spans="1:18" x14ac:dyDescent="0.25">
      <c r="A23" s="49">
        <v>2023</v>
      </c>
      <c r="B23" s="54">
        <v>116511560.77780965</v>
      </c>
      <c r="C23" s="63">
        <v>17</v>
      </c>
      <c r="D23" s="56">
        <v>9788278.5741521101</v>
      </c>
      <c r="E23" s="54">
        <v>1054004.3370313321</v>
      </c>
      <c r="F23" s="63">
        <v>22</v>
      </c>
      <c r="G23" s="56">
        <v>75033.700506949579</v>
      </c>
      <c r="H23" s="54">
        <v>11091446.859931028</v>
      </c>
      <c r="I23" s="63">
        <v>22</v>
      </c>
      <c r="J23" s="55">
        <v>789590.96527139971</v>
      </c>
      <c r="K23" s="54">
        <v>50919548.060535125</v>
      </c>
      <c r="L23" s="63">
        <v>23</v>
      </c>
      <c r="M23" s="56">
        <v>3733928.4847311503</v>
      </c>
      <c r="N23" s="143">
        <v>179576560.03530714</v>
      </c>
      <c r="O23" s="63">
        <v>23</v>
      </c>
      <c r="P23" s="72">
        <v>14386831.724661611</v>
      </c>
      <c r="Q23" s="121">
        <v>704437761.68953419</v>
      </c>
      <c r="R23" s="142">
        <v>0.74507817467847259</v>
      </c>
    </row>
    <row r="24" spans="1:18" x14ac:dyDescent="0.25">
      <c r="A24" s="49">
        <v>2024</v>
      </c>
      <c r="B24" s="54">
        <v>115101224.6059984</v>
      </c>
      <c r="C24" s="63">
        <v>16</v>
      </c>
      <c r="D24" s="56">
        <v>10081926.931376679</v>
      </c>
      <c r="E24" s="54">
        <v>1055258.0658044061</v>
      </c>
      <c r="F24" s="63">
        <v>21</v>
      </c>
      <c r="G24" s="56">
        <v>77284.711522158061</v>
      </c>
      <c r="H24" s="54">
        <v>11104640.037202464</v>
      </c>
      <c r="I24" s="63">
        <v>21</v>
      </c>
      <c r="J24" s="55">
        <v>813278.69422954158</v>
      </c>
      <c r="K24" s="54">
        <v>50867094.713017888</v>
      </c>
      <c r="L24" s="63">
        <v>22</v>
      </c>
      <c r="M24" s="56">
        <v>3845946.3392730844</v>
      </c>
      <c r="N24" s="143">
        <v>178128217.42202315</v>
      </c>
      <c r="O24" s="63">
        <v>22</v>
      </c>
      <c r="P24" s="72">
        <v>14818436.676401462</v>
      </c>
      <c r="Q24" s="121">
        <v>742688732.1492759</v>
      </c>
      <c r="R24" s="142">
        <v>0.76015764113380879</v>
      </c>
    </row>
    <row r="25" spans="1:18" x14ac:dyDescent="0.25">
      <c r="A25" s="49">
        <v>2025</v>
      </c>
      <c r="B25" s="54">
        <v>113280652.12439689</v>
      </c>
      <c r="C25" s="63">
        <v>15</v>
      </c>
      <c r="D25" s="56">
        <v>10384384.739317978</v>
      </c>
      <c r="E25" s="54">
        <v>1054271.9263403323</v>
      </c>
      <c r="F25" s="63">
        <v>20</v>
      </c>
      <c r="G25" s="56">
        <v>79603.252867822797</v>
      </c>
      <c r="H25" s="54">
        <v>11094262.742652558</v>
      </c>
      <c r="I25" s="63">
        <v>20</v>
      </c>
      <c r="J25" s="55">
        <v>837677.05505642784</v>
      </c>
      <c r="K25" s="54">
        <v>50694564.780875139</v>
      </c>
      <c r="L25" s="63">
        <v>21</v>
      </c>
      <c r="M25" s="56">
        <v>3961324.7294512768</v>
      </c>
      <c r="N25" s="143">
        <v>176123751.57426491</v>
      </c>
      <c r="O25" s="63">
        <v>21</v>
      </c>
      <c r="P25" s="72">
        <v>15262989.776693506</v>
      </c>
      <c r="Q25" s="121">
        <v>783016730.30498159</v>
      </c>
      <c r="R25" s="142">
        <v>0.77507025743158076</v>
      </c>
    </row>
    <row r="26" spans="1:18" x14ac:dyDescent="0.25">
      <c r="A26" s="49">
        <v>2026</v>
      </c>
      <c r="B26" s="54">
        <v>111009941.77686372</v>
      </c>
      <c r="C26" s="63">
        <v>14</v>
      </c>
      <c r="D26" s="56">
        <v>10695916.281497518</v>
      </c>
      <c r="E26" s="54">
        <v>1050807.9115844709</v>
      </c>
      <c r="F26" s="63">
        <v>19</v>
      </c>
      <c r="G26" s="56">
        <v>81991.350453857449</v>
      </c>
      <c r="H26" s="54">
        <v>11057810.392091203</v>
      </c>
      <c r="I26" s="63">
        <v>19</v>
      </c>
      <c r="J26" s="55">
        <v>862807.36670812045</v>
      </c>
      <c r="K26" s="54">
        <v>50389468.242753118</v>
      </c>
      <c r="L26" s="63">
        <v>20</v>
      </c>
      <c r="M26" s="56">
        <v>4080164.471334815</v>
      </c>
      <c r="N26" s="143">
        <v>173508028.32329249</v>
      </c>
      <c r="O26" s="63">
        <v>20</v>
      </c>
      <c r="P26" s="72">
        <v>15720879.46999431</v>
      </c>
      <c r="Q26" s="121">
        <v>825534538.76054215</v>
      </c>
      <c r="R26" s="142">
        <v>0.78982341722031701</v>
      </c>
    </row>
    <row r="27" spans="1:18" x14ac:dyDescent="0.25">
      <c r="A27" s="49">
        <v>2027</v>
      </c>
      <c r="B27" s="54">
        <v>108245925.37555969</v>
      </c>
      <c r="C27" s="63">
        <v>13</v>
      </c>
      <c r="D27" s="56">
        <v>11016793.769942446</v>
      </c>
      <c r="E27" s="54">
        <v>1044608.0634449784</v>
      </c>
      <c r="F27" s="63">
        <v>18</v>
      </c>
      <c r="G27" s="56">
        <v>84451.090967473196</v>
      </c>
      <c r="H27" s="54">
        <v>10992568.45354994</v>
      </c>
      <c r="I27" s="63">
        <v>18</v>
      </c>
      <c r="J27" s="55">
        <v>888691.58770936413</v>
      </c>
      <c r="K27" s="54">
        <v>49938273.797371306</v>
      </c>
      <c r="L27" s="63">
        <v>19</v>
      </c>
      <c r="M27" s="56">
        <v>4202569.4054748602</v>
      </c>
      <c r="N27" s="143">
        <v>170221375.68992591</v>
      </c>
      <c r="O27" s="63">
        <v>19</v>
      </c>
      <c r="P27" s="72">
        <v>16192505.854094142</v>
      </c>
      <c r="Q27" s="121">
        <v>870361064.21523964</v>
      </c>
      <c r="R27" s="142">
        <v>0.80442441339743764</v>
      </c>
    </row>
    <row r="28" spans="1:18" x14ac:dyDescent="0.25">
      <c r="A28" s="49">
        <v>2028</v>
      </c>
      <c r="B28" s="54">
        <v>104941914.88312076</v>
      </c>
      <c r="C28" s="63">
        <v>12</v>
      </c>
      <c r="D28" s="56">
        <v>11347297.583040714</v>
      </c>
      <c r="E28" s="54">
        <v>1035392.9134497741</v>
      </c>
      <c r="F28" s="63">
        <v>17</v>
      </c>
      <c r="G28" s="56">
        <v>86984.62369649738</v>
      </c>
      <c r="H28" s="54">
        <v>10895596.03807964</v>
      </c>
      <c r="I28" s="63">
        <v>17</v>
      </c>
      <c r="J28" s="55">
        <v>915352.33534064516</v>
      </c>
      <c r="K28" s="54">
        <v>49326327.631678216</v>
      </c>
      <c r="L28" s="63">
        <v>18</v>
      </c>
      <c r="M28" s="56">
        <v>4328646.4876391049</v>
      </c>
      <c r="N28" s="143">
        <v>166199231.46632838</v>
      </c>
      <c r="O28" s="63">
        <v>18</v>
      </c>
      <c r="P28" s="72">
        <v>16678281.029716961</v>
      </c>
      <c r="Q28" s="121">
        <v>917621670.00212717</v>
      </c>
      <c r="R28" s="142">
        <v>0.81888044179913155</v>
      </c>
    </row>
    <row r="29" spans="1:18" x14ac:dyDescent="0.25">
      <c r="A29" s="49">
        <v>2029</v>
      </c>
      <c r="B29" s="54">
        <v>101047429.95688075</v>
      </c>
      <c r="C29" s="63">
        <v>11</v>
      </c>
      <c r="D29" s="56">
        <v>11687716.510531936</v>
      </c>
      <c r="E29" s="54">
        <v>1022859.8045623223</v>
      </c>
      <c r="F29" s="63">
        <v>16</v>
      </c>
      <c r="G29" s="56">
        <v>89594.162407392345</v>
      </c>
      <c r="H29" s="54">
        <v>10763708.23996447</v>
      </c>
      <c r="I29" s="63">
        <v>16</v>
      </c>
      <c r="J29" s="55">
        <v>942812.90540086478</v>
      </c>
      <c r="K29" s="54">
        <v>48537766.002543263</v>
      </c>
      <c r="L29" s="63">
        <v>17</v>
      </c>
      <c r="M29" s="56">
        <v>4458505.8822682779</v>
      </c>
      <c r="N29" s="143">
        <v>161371764.0039508</v>
      </c>
      <c r="O29" s="63">
        <v>17</v>
      </c>
      <c r="P29" s="72">
        <v>17178629.460608471</v>
      </c>
      <c r="Q29" s="121">
        <v>967448526.68324268</v>
      </c>
      <c r="R29" s="142">
        <v>0.83319860483204145</v>
      </c>
    </row>
    <row r="30" spans="1:18" x14ac:dyDescent="0.25">
      <c r="A30" s="49">
        <v>2030</v>
      </c>
      <c r="B30" s="54">
        <v>96507904.804898515</v>
      </c>
      <c r="C30" s="63">
        <v>10</v>
      </c>
      <c r="D30" s="56">
        <v>12038348.005847894</v>
      </c>
      <c r="E30" s="54">
        <v>1006681.0851864258</v>
      </c>
      <c r="F30" s="63">
        <v>15</v>
      </c>
      <c r="G30" s="56">
        <v>92281.987279614099</v>
      </c>
      <c r="H30" s="54">
        <v>10593457.131961528</v>
      </c>
      <c r="I30" s="63">
        <v>15</v>
      </c>
      <c r="J30" s="55">
        <v>971097.29256289057</v>
      </c>
      <c r="K30" s="54">
        <v>47555421.165177867</v>
      </c>
      <c r="L30" s="63">
        <v>16</v>
      </c>
      <c r="M30" s="56">
        <v>4592261.0587363271</v>
      </c>
      <c r="N30" s="143">
        <v>155663464.18722433</v>
      </c>
      <c r="O30" s="63">
        <v>16</v>
      </c>
      <c r="P30" s="72">
        <v>17693988.344426725</v>
      </c>
      <c r="Q30" s="121">
        <v>1019980981.6821427</v>
      </c>
      <c r="R30" s="142">
        <v>0.84738591504862604</v>
      </c>
    </row>
    <row r="31" spans="1:18" x14ac:dyDescent="0.25">
      <c r="A31" s="49">
        <v>2031</v>
      </c>
      <c r="B31" s="54">
        <v>91264372.794555172</v>
      </c>
      <c r="C31" s="63">
        <v>9</v>
      </c>
      <c r="D31" s="56">
        <v>12399498.446023328</v>
      </c>
      <c r="E31" s="54">
        <v>986502.16571579501</v>
      </c>
      <c r="F31" s="63">
        <v>14</v>
      </c>
      <c r="G31" s="56">
        <v>95050.446898002498</v>
      </c>
      <c r="H31" s="54">
        <v>10381111.314078355</v>
      </c>
      <c r="I31" s="63">
        <v>14</v>
      </c>
      <c r="J31" s="55">
        <v>1000230.2113397773</v>
      </c>
      <c r="K31" s="54">
        <v>46360720.146383375</v>
      </c>
      <c r="L31" s="63">
        <v>15</v>
      </c>
      <c r="M31" s="56">
        <v>4730028.8904984165</v>
      </c>
      <c r="N31" s="143">
        <v>148992706.42073271</v>
      </c>
      <c r="O31" s="63">
        <v>15</v>
      </c>
      <c r="P31" s="72">
        <v>18224807.994759522</v>
      </c>
      <c r="Q31" s="121">
        <v>1075365948.987483</v>
      </c>
      <c r="R31" s="142">
        <v>0.86144929866803233</v>
      </c>
    </row>
    <row r="32" spans="1:18" x14ac:dyDescent="0.25">
      <c r="A32" s="49">
        <v>2032</v>
      </c>
      <c r="B32" s="54">
        <v>85253127.137314752</v>
      </c>
      <c r="C32" s="63">
        <v>8</v>
      </c>
      <c r="D32" s="56">
        <v>12771483.39940403</v>
      </c>
      <c r="E32" s="54">
        <v>961939.4272590786</v>
      </c>
      <c r="F32" s="63">
        <v>13</v>
      </c>
      <c r="G32" s="56">
        <v>97901.960304942579</v>
      </c>
      <c r="H32" s="54">
        <v>10122633.906770537</v>
      </c>
      <c r="I32" s="63">
        <v>13</v>
      </c>
      <c r="J32" s="55">
        <v>1030237.1176799707</v>
      </c>
      <c r="K32" s="54">
        <v>44933575.822993815</v>
      </c>
      <c r="L32" s="63">
        <v>14</v>
      </c>
      <c r="M32" s="56">
        <v>4871929.7572133681</v>
      </c>
      <c r="N32" s="143">
        <v>141271276.29433817</v>
      </c>
      <c r="O32" s="63">
        <v>14</v>
      </c>
      <c r="P32" s="72">
        <v>18771552.23460231</v>
      </c>
      <c r="Q32" s="121">
        <v>1133758320.0175033</v>
      </c>
      <c r="R32" s="142">
        <v>0.87539559904428554</v>
      </c>
    </row>
    <row r="33" spans="1:18" x14ac:dyDescent="0.25">
      <c r="A33" s="49">
        <v>2033</v>
      </c>
      <c r="B33" s="54">
        <v>78405355.847276345</v>
      </c>
      <c r="C33" s="63">
        <v>7</v>
      </c>
      <c r="D33" s="56">
        <v>13154627.901386149</v>
      </c>
      <c r="E33" s="54">
        <v>932577.97139154654</v>
      </c>
      <c r="F33" s="63">
        <v>12</v>
      </c>
      <c r="G33" s="56">
        <v>100839.01911409084</v>
      </c>
      <c r="H33" s="54">
        <v>9813658.8712387215</v>
      </c>
      <c r="I33" s="63">
        <v>12</v>
      </c>
      <c r="J33" s="55">
        <v>1061144.2312103696</v>
      </c>
      <c r="K33" s="54">
        <v>43252269.725318991</v>
      </c>
      <c r="L33" s="63">
        <v>13</v>
      </c>
      <c r="M33" s="56">
        <v>5018087.6499297693</v>
      </c>
      <c r="N33" s="143">
        <v>132403862.4152256</v>
      </c>
      <c r="O33" s="63">
        <v>13</v>
      </c>
      <c r="P33" s="72">
        <v>19334698.801640376</v>
      </c>
      <c r="Q33" s="121">
        <v>1195321396.7944536</v>
      </c>
      <c r="R33" s="142">
        <v>0.88923158008356673</v>
      </c>
    </row>
    <row r="34" spans="1:18" x14ac:dyDescent="0.25">
      <c r="A34" s="49">
        <v>2034</v>
      </c>
      <c r="B34" s="54">
        <v>70646749.035724938</v>
      </c>
      <c r="C34" s="63">
        <v>6</v>
      </c>
      <c r="D34" s="56">
        <v>13549266.738427732</v>
      </c>
      <c r="E34" s="54">
        <v>897969.19894659065</v>
      </c>
      <c r="F34" s="63">
        <v>11</v>
      </c>
      <c r="G34" s="56">
        <v>103864.18968751359</v>
      </c>
      <c r="H34" s="54">
        <v>9449465.5306858309</v>
      </c>
      <c r="I34" s="63">
        <v>11</v>
      </c>
      <c r="J34" s="55">
        <v>1092978.5581466802</v>
      </c>
      <c r="K34" s="54">
        <v>41293325.941786572</v>
      </c>
      <c r="L34" s="63">
        <v>12</v>
      </c>
      <c r="M34" s="56">
        <v>5168630.2794276625</v>
      </c>
      <c r="N34" s="143">
        <v>122287509.70714393</v>
      </c>
      <c r="O34" s="63">
        <v>12</v>
      </c>
      <c r="P34" s="72">
        <v>19914739.765689589</v>
      </c>
      <c r="Q34" s="121">
        <v>1260227348.6403925</v>
      </c>
      <c r="R34" s="142">
        <v>0.90296392961232352</v>
      </c>
    </row>
    <row r="35" spans="1:18" x14ac:dyDescent="0.25">
      <c r="A35" s="49">
        <v>2035</v>
      </c>
      <c r="B35" s="54">
        <v>61897076.458304271</v>
      </c>
      <c r="C35" s="63">
        <v>5</v>
      </c>
      <c r="D35" s="56">
        <v>13955744.740580568</v>
      </c>
      <c r="E35" s="54">
        <v>857628.20495928335</v>
      </c>
      <c r="F35" s="63">
        <v>10</v>
      </c>
      <c r="G35" s="56">
        <v>106980.11537813899</v>
      </c>
      <c r="H35" s="54">
        <v>9024951.156914603</v>
      </c>
      <c r="I35" s="63">
        <v>10</v>
      </c>
      <c r="J35" s="55">
        <v>1125767.9148910812</v>
      </c>
      <c r="K35" s="54">
        <v>39031375.454101287</v>
      </c>
      <c r="L35" s="63">
        <v>11</v>
      </c>
      <c r="M35" s="56">
        <v>5323689.1878104927</v>
      </c>
      <c r="N35" s="143">
        <v>110811031.27427945</v>
      </c>
      <c r="O35" s="63">
        <v>11</v>
      </c>
      <c r="P35" s="72">
        <v>20512181.958660282</v>
      </c>
      <c r="Q35" s="121">
        <v>1328657693.6715658</v>
      </c>
      <c r="R35" s="142">
        <v>0.9165992626979278</v>
      </c>
    </row>
    <row r="36" spans="1:18" x14ac:dyDescent="0.25">
      <c r="A36" s="49">
        <v>2036</v>
      </c>
      <c r="B36" s="54">
        <v>52069733.074924052</v>
      </c>
      <c r="C36" s="63">
        <v>4</v>
      </c>
      <c r="D36" s="56">
        <v>14374417.082797982</v>
      </c>
      <c r="E36" s="54">
        <v>811030.97590567893</v>
      </c>
      <c r="F36" s="63">
        <v>9</v>
      </c>
      <c r="G36" s="56">
        <v>110189.51883948313</v>
      </c>
      <c r="H36" s="54">
        <v>8534601.4764533527</v>
      </c>
      <c r="I36" s="63">
        <v>9</v>
      </c>
      <c r="J36" s="55">
        <v>1159540.9523378136</v>
      </c>
      <c r="K36" s="54">
        <v>36439010.181840025</v>
      </c>
      <c r="L36" s="63">
        <v>10</v>
      </c>
      <c r="M36" s="56">
        <v>5483399.863444807</v>
      </c>
      <c r="N36" s="143">
        <v>97854375.709123105</v>
      </c>
      <c r="O36" s="63">
        <v>10</v>
      </c>
      <c r="P36" s="72">
        <v>21127547.417420082</v>
      </c>
      <c r="Q36" s="121">
        <v>1400803806.4379318</v>
      </c>
      <c r="R36" s="142">
        <v>0.9301441249235648</v>
      </c>
    </row>
    <row r="37" spans="1:18" x14ac:dyDescent="0.25">
      <c r="A37" s="49">
        <v>2037</v>
      </c>
      <c r="B37" s="54">
        <v>41071250.214257732</v>
      </c>
      <c r="C37" s="63">
        <v>3</v>
      </c>
      <c r="D37" s="56">
        <v>14805649.595281921</v>
      </c>
      <c r="E37" s="54">
        <v>757611.37434028776</v>
      </c>
      <c r="F37" s="63">
        <v>8</v>
      </c>
      <c r="G37" s="56">
        <v>113495.20440466765</v>
      </c>
      <c r="H37" s="54">
        <v>7972458.9394406117</v>
      </c>
      <c r="I37" s="63">
        <v>8</v>
      </c>
      <c r="J37" s="55">
        <v>1194327.1809079482</v>
      </c>
      <c r="K37" s="54">
        <v>33486625.961219598</v>
      </c>
      <c r="L37" s="63">
        <v>9</v>
      </c>
      <c r="M37" s="56">
        <v>5647901.8593481509</v>
      </c>
      <c r="N37" s="143">
        <v>83287946.48925823</v>
      </c>
      <c r="O37" s="63">
        <v>9</v>
      </c>
      <c r="P37" s="72">
        <v>21761373.839942686</v>
      </c>
      <c r="Q37" s="121">
        <v>1476867453.1275115</v>
      </c>
      <c r="R37" s="142">
        <v>0.94360499561901623</v>
      </c>
    </row>
    <row r="38" spans="1:18" x14ac:dyDescent="0.25">
      <c r="A38" s="49">
        <v>2038</v>
      </c>
      <c r="B38" s="54">
        <v>28800769.753802869</v>
      </c>
      <c r="C38" s="63">
        <v>2</v>
      </c>
      <c r="D38" s="56">
        <v>15249819.083140381</v>
      </c>
      <c r="E38" s="54">
        <v>696757.89491474268</v>
      </c>
      <c r="F38" s="63">
        <v>7</v>
      </c>
      <c r="G38" s="56">
        <v>116900.06053680766</v>
      </c>
      <c r="H38" s="54">
        <v>7332088.5827195123</v>
      </c>
      <c r="I38" s="63">
        <v>7</v>
      </c>
      <c r="J38" s="55">
        <v>1230156.9963351865</v>
      </c>
      <c r="K38" s="54">
        <v>30142253.624524891</v>
      </c>
      <c r="L38" s="63">
        <v>8</v>
      </c>
      <c r="M38" s="56">
        <v>5817338.9151285952</v>
      </c>
      <c r="N38" s="143">
        <v>66971869.855962016</v>
      </c>
      <c r="O38" s="63">
        <v>8</v>
      </c>
      <c r="P38" s="72">
        <v>22414215.055140968</v>
      </c>
      <c r="Q38" s="121">
        <v>1557061355.8323355</v>
      </c>
      <c r="R38" s="142">
        <v>0.95698829104896654</v>
      </c>
    </row>
    <row r="39" spans="1:18" x14ac:dyDescent="0.25">
      <c r="A39" s="49">
        <v>2039</v>
      </c>
      <c r="B39" s="54">
        <v>15149478.532018164</v>
      </c>
      <c r="C39" s="63">
        <v>1</v>
      </c>
      <c r="D39" s="56">
        <v>15707313.655634595</v>
      </c>
      <c r="E39" s="54">
        <v>627810.17455724964</v>
      </c>
      <c r="F39" s="63">
        <v>6</v>
      </c>
      <c r="G39" s="56">
        <v>120407.06235291189</v>
      </c>
      <c r="H39" s="54">
        <v>6606541.3059289558</v>
      </c>
      <c r="I39" s="63">
        <v>6</v>
      </c>
      <c r="J39" s="55">
        <v>1267061.7062252418</v>
      </c>
      <c r="K39" s="54">
        <v>26371377.284064494</v>
      </c>
      <c r="L39" s="63">
        <v>7</v>
      </c>
      <c r="M39" s="56">
        <v>5991859.0825824542</v>
      </c>
      <c r="N39" s="143">
        <v>48755207.296568863</v>
      </c>
      <c r="O39" s="63">
        <v>7</v>
      </c>
      <c r="P39" s="72">
        <v>23086641.506795205</v>
      </c>
      <c r="Q39" s="121">
        <v>1641609787.4540312</v>
      </c>
      <c r="R39" s="142">
        <v>0.97030036756044002</v>
      </c>
    </row>
    <row r="40" spans="1:18" x14ac:dyDescent="0.25">
      <c r="A40" s="49">
        <v>2040</v>
      </c>
      <c r="B40" s="54"/>
      <c r="C40" s="63"/>
      <c r="D40" s="56"/>
      <c r="E40" s="54">
        <v>550055.23829866177</v>
      </c>
      <c r="F40" s="63">
        <v>5</v>
      </c>
      <c r="G40" s="56">
        <v>124019.27422349929</v>
      </c>
      <c r="H40" s="54">
        <v>5788314.3657642733</v>
      </c>
      <c r="I40" s="63">
        <v>5</v>
      </c>
      <c r="J40" s="55">
        <v>1305073.5574119997</v>
      </c>
      <c r="K40" s="54">
        <v>22136738.857200578</v>
      </c>
      <c r="L40" s="63">
        <v>6</v>
      </c>
      <c r="M40" s="56">
        <v>6171614.8550599264</v>
      </c>
      <c r="N40" s="143">
        <v>28475108.461263515</v>
      </c>
      <c r="O40" s="63">
        <v>6</v>
      </c>
      <c r="P40" s="72">
        <v>7600707.6866954248</v>
      </c>
      <c r="Q40" s="121">
        <v>1730749198.9127851</v>
      </c>
      <c r="R40" s="142">
        <v>0.98354752469095419</v>
      </c>
    </row>
    <row r="41" spans="1:18" x14ac:dyDescent="0.25">
      <c r="A41" s="49">
        <v>2041</v>
      </c>
      <c r="B41" s="54"/>
      <c r="C41" s="63"/>
      <c r="D41" s="56"/>
      <c r="E41" s="54">
        <v>462723.46084016835</v>
      </c>
      <c r="F41" s="63">
        <v>4</v>
      </c>
      <c r="G41" s="56">
        <v>127739.85245020426</v>
      </c>
      <c r="H41" s="54">
        <v>4869308.8789439583</v>
      </c>
      <c r="I41" s="63">
        <v>4</v>
      </c>
      <c r="J41" s="55">
        <v>1344225.7641343598</v>
      </c>
      <c r="K41" s="54">
        <v>17398127.796626803</v>
      </c>
      <c r="L41" s="63">
        <v>5</v>
      </c>
      <c r="M41" s="56">
        <v>6356763.300711724</v>
      </c>
      <c r="N41" s="143">
        <v>22730160.136410929</v>
      </c>
      <c r="O41" s="63">
        <v>5</v>
      </c>
      <c r="P41" s="72">
        <v>7828728.9172962885</v>
      </c>
      <c r="Q41" s="121">
        <v>1824728880.4137492</v>
      </c>
      <c r="R41" s="142">
        <v>0.98754326717772067</v>
      </c>
    </row>
    <row r="42" spans="1:18" x14ac:dyDescent="0.25">
      <c r="A42" s="49">
        <v>2042</v>
      </c>
      <c r="B42" s="54"/>
      <c r="C42" s="63"/>
      <c r="D42" s="56"/>
      <c r="E42" s="54">
        <v>364984.22246236115</v>
      </c>
      <c r="F42" s="63">
        <v>3</v>
      </c>
      <c r="G42" s="56">
        <v>131572.04802371038</v>
      </c>
      <c r="H42" s="54">
        <v>3840784.1086845407</v>
      </c>
      <c r="I42" s="63">
        <v>3</v>
      </c>
      <c r="J42" s="55">
        <v>1384552.5370583902</v>
      </c>
      <c r="K42" s="54">
        <v>12112154.912264083</v>
      </c>
      <c r="L42" s="63">
        <v>4</v>
      </c>
      <c r="M42" s="56">
        <v>5237972.9597864617</v>
      </c>
      <c r="N42" s="143">
        <v>16317923.243410984</v>
      </c>
      <c r="O42" s="63">
        <v>4</v>
      </c>
      <c r="P42" s="72">
        <v>6754097.5448685624</v>
      </c>
      <c r="Q42" s="121">
        <v>1923811658.6202159</v>
      </c>
      <c r="R42" s="142">
        <v>0.99151792059773958</v>
      </c>
    </row>
    <row r="43" spans="1:18" x14ac:dyDescent="0.25">
      <c r="A43" s="49">
        <v>2043</v>
      </c>
      <c r="B43" s="54"/>
      <c r="C43" s="63"/>
      <c r="D43" s="56"/>
      <c r="E43" s="54">
        <v>255941.23626799381</v>
      </c>
      <c r="F43" s="63">
        <v>2</v>
      </c>
      <c r="G43" s="56">
        <v>135519.20946442173</v>
      </c>
      <c r="H43" s="54">
        <v>2693308.2925702604</v>
      </c>
      <c r="I43" s="63">
        <v>2</v>
      </c>
      <c r="J43" s="55">
        <v>1426089.1131701423</v>
      </c>
      <c r="K43" s="54">
        <v>7589720.5761374692</v>
      </c>
      <c r="L43" s="63">
        <v>3</v>
      </c>
      <c r="M43" s="56">
        <v>4046334.1114350408</v>
      </c>
      <c r="N43" s="143">
        <v>10538970.104975723</v>
      </c>
      <c r="O43" s="63">
        <v>3</v>
      </c>
      <c r="P43" s="72">
        <v>5607942.4340696046</v>
      </c>
      <c r="Q43" s="121">
        <v>2028274631.6832936</v>
      </c>
      <c r="R43" s="142">
        <v>0.99480397282480959</v>
      </c>
    </row>
    <row r="44" spans="1:18" x14ac:dyDescent="0.25">
      <c r="A44" s="49">
        <v>2044</v>
      </c>
      <c r="B44" s="54"/>
      <c r="C44" s="63"/>
      <c r="D44" s="56"/>
      <c r="E44" s="54">
        <v>134627.52202267756</v>
      </c>
      <c r="F44" s="63">
        <v>1</v>
      </c>
      <c r="G44" s="56">
        <v>139584.78574835445</v>
      </c>
      <c r="H44" s="54">
        <v>1416705.75151944</v>
      </c>
      <c r="I44" s="63">
        <v>1</v>
      </c>
      <c r="J44" s="55">
        <v>1468871.7865652465</v>
      </c>
      <c r="K44" s="54">
        <v>3963621.1194606712</v>
      </c>
      <c r="L44" s="63">
        <v>2</v>
      </c>
      <c r="M44" s="56">
        <v>2778482.7565187286</v>
      </c>
      <c r="N44" s="143">
        <v>5514954.3930027885</v>
      </c>
      <c r="O44" s="63">
        <v>2</v>
      </c>
      <c r="P44" s="72">
        <v>4386939.3288323293</v>
      </c>
      <c r="Q44" s="121">
        <v>2138409944.1836965</v>
      </c>
      <c r="R44" s="142">
        <v>0.99742100226946517</v>
      </c>
    </row>
    <row r="45" spans="1:18" x14ac:dyDescent="0.25">
      <c r="A45" s="49">
        <v>2045</v>
      </c>
      <c r="B45" s="54"/>
      <c r="C45" s="63"/>
      <c r="D45" s="56"/>
      <c r="E45" s="54"/>
      <c r="F45" s="63"/>
      <c r="G45" s="56"/>
      <c r="H45" s="54"/>
      <c r="I45" s="63"/>
      <c r="J45" s="55"/>
      <c r="K45" s="54">
        <v>1380100.4668310741</v>
      </c>
      <c r="L45" s="63">
        <v>1</v>
      </c>
      <c r="M45" s="56">
        <v>1430918.619607145</v>
      </c>
      <c r="N45" s="143">
        <v>1380100.4668310741</v>
      </c>
      <c r="O45" s="63">
        <v>1</v>
      </c>
      <c r="P45" s="72">
        <v>1430918.619607145</v>
      </c>
      <c r="Q45" s="121">
        <v>2254525604.1528711</v>
      </c>
      <c r="R45" s="142">
        <v>0.99938785327419255</v>
      </c>
    </row>
    <row r="46" spans="1:18" ht="15.75" thickBot="1" x14ac:dyDescent="0.3">
      <c r="B46" s="57"/>
      <c r="C46" s="68"/>
      <c r="D46" s="59"/>
      <c r="E46" s="57"/>
      <c r="F46" s="68"/>
      <c r="G46" s="59"/>
      <c r="H46" s="60"/>
      <c r="I46" s="61"/>
      <c r="J46" s="62"/>
      <c r="K46" s="66"/>
      <c r="L46" s="67"/>
      <c r="M46" s="67"/>
      <c r="N46" s="144"/>
      <c r="O46" s="145"/>
      <c r="P46" s="145"/>
      <c r="Q46" s="146"/>
      <c r="R46" s="147"/>
    </row>
    <row r="47" spans="1:18" x14ac:dyDescent="0.25">
      <c r="N47" s="49" t="s">
        <v>81</v>
      </c>
      <c r="P47" s="47">
        <v>430066706.4557901</v>
      </c>
      <c r="Q47" s="50"/>
    </row>
    <row r="48" spans="1:18" x14ac:dyDescent="0.25">
      <c r="B48" s="48"/>
      <c r="C48" s="48"/>
      <c r="D48" s="48"/>
      <c r="E48" s="48"/>
      <c r="F48" s="48"/>
      <c r="G48" s="48"/>
      <c r="H48" s="48"/>
      <c r="I48" s="48"/>
      <c r="J48" s="48"/>
      <c r="K48" s="48"/>
      <c r="L48" s="48"/>
      <c r="M48" s="48"/>
      <c r="N48" s="49" t="s">
        <v>86</v>
      </c>
      <c r="P48" s="48">
        <v>281878256.3123796</v>
      </c>
      <c r="Q48" s="50"/>
      <c r="R48" s="48"/>
    </row>
    <row r="49" spans="17:17" x14ac:dyDescent="0.25">
      <c r="Q49" s="50"/>
    </row>
    <row r="50" spans="17:17" x14ac:dyDescent="0.25">
      <c r="Q50" s="50"/>
    </row>
    <row r="51" spans="17:17" x14ac:dyDescent="0.25">
      <c r="Q51" s="50"/>
    </row>
    <row r="52" spans="17:17" x14ac:dyDescent="0.25">
      <c r="Q52" s="50"/>
    </row>
  </sheetData>
  <mergeCells count="8">
    <mergeCell ref="B10:M10"/>
    <mergeCell ref="N10:R10"/>
    <mergeCell ref="N11:R11"/>
    <mergeCell ref="B12:D12"/>
    <mergeCell ref="E12:G12"/>
    <mergeCell ref="H12:J12"/>
    <mergeCell ref="K12:M12"/>
    <mergeCell ref="N12:R12"/>
  </mergeCells>
  <conditionalFormatting sqref="R14:R45">
    <cfRule type="iconSet" priority="8">
      <iconSet>
        <cfvo type="percent" val="0"/>
        <cfvo type="num" val="0.7"/>
        <cfvo type="num" val="0.8"/>
      </iconSet>
    </cfRule>
  </conditionalFormatting>
  <conditionalFormatting sqref="K17:K45">
    <cfRule type="iconSet" priority="7">
      <iconSet reverse="1">
        <cfvo type="percent" val="0"/>
        <cfvo type="num" val="$L$16"/>
        <cfvo type="num" val="$L$16" gte="0"/>
      </iconSet>
    </cfRule>
  </conditionalFormatting>
  <conditionalFormatting sqref="H17:H45">
    <cfRule type="iconSet" priority="6">
      <iconSet reverse="1">
        <cfvo type="percent" val="0"/>
        <cfvo type="num" val="$L$16"/>
        <cfvo type="num" val="$L$16" gte="0"/>
      </iconSet>
    </cfRule>
  </conditionalFormatting>
  <conditionalFormatting sqref="H16:H45">
    <cfRule type="iconSet" priority="5">
      <iconSet reverse="1">
        <cfvo type="percent" val="0"/>
        <cfvo type="num" val="$I$16"/>
        <cfvo type="num" val="$I$16"/>
      </iconSet>
    </cfRule>
  </conditionalFormatting>
  <conditionalFormatting sqref="N14:N45">
    <cfRule type="iconSet" priority="4">
      <iconSet reverse="1">
        <cfvo type="percent" val="0"/>
        <cfvo type="num" val="$O$16"/>
        <cfvo type="num" val="$O$16"/>
      </iconSet>
    </cfRule>
  </conditionalFormatting>
  <conditionalFormatting sqref="E17:E44">
    <cfRule type="cellIs" dxfId="2" priority="1" operator="greaterThanOrEqual">
      <formula>E16</formula>
    </cfRule>
    <cfRule type="cellIs" dxfId="1" priority="2" operator="greaterThan">
      <formula>E$16</formula>
    </cfRule>
    <cfRule type="cellIs" dxfId="0" priority="3" operator="lessThanOrEqual">
      <formula>E$16</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9"/>
  <sheetViews>
    <sheetView showGridLines="0" zoomScale="90" zoomScaleNormal="90" workbookViewId="0">
      <selection activeCell="E38" sqref="E38"/>
    </sheetView>
  </sheetViews>
  <sheetFormatPr defaultRowHeight="15" x14ac:dyDescent="0.25"/>
  <cols>
    <col min="1" max="1" width="2.42578125" style="49" customWidth="1"/>
    <col min="2" max="2" width="3" bestFit="1" customWidth="1"/>
    <col min="3" max="3" width="9.7109375" bestFit="1" customWidth="1"/>
    <col min="4" max="4" width="7.85546875" customWidth="1"/>
    <col min="5" max="7" width="7" customWidth="1"/>
    <col min="8" max="8" width="7.7109375" style="49" customWidth="1"/>
    <col min="9" max="11" width="7.7109375" customWidth="1"/>
    <col min="12" max="12" width="11.85546875" bestFit="1" customWidth="1"/>
    <col min="13" max="13" width="4.5703125" style="49" customWidth="1"/>
    <col min="14" max="14" width="5.42578125" bestFit="1" customWidth="1"/>
    <col min="15" max="15" width="3.7109375" style="49" customWidth="1"/>
    <col min="16" max="16" width="11.85546875" bestFit="1" customWidth="1"/>
    <col min="17" max="17" width="4.28515625" style="49" customWidth="1"/>
    <col min="18" max="18" width="11.85546875" bestFit="1" customWidth="1"/>
    <col min="19" max="19" width="4.42578125" style="49" customWidth="1"/>
    <col min="20" max="20" width="8.42578125" style="49" hidden="1" customWidth="1"/>
    <col min="21" max="21" width="9.42578125" style="49" hidden="1" customWidth="1"/>
    <col min="22" max="22" width="10.42578125" style="49" hidden="1" customWidth="1"/>
    <col min="23" max="23" width="9.42578125" style="49" hidden="1" customWidth="1"/>
    <col min="24" max="24" width="12.5703125" style="49" hidden="1" customWidth="1"/>
    <col min="25" max="25" width="2.85546875" style="49" customWidth="1"/>
    <col min="26" max="26" width="51" bestFit="1" customWidth="1"/>
    <col min="27" max="27" width="13.42578125" bestFit="1" customWidth="1"/>
    <col min="28" max="28" width="14" customWidth="1"/>
    <col min="29" max="29" width="13.85546875" bestFit="1" customWidth="1"/>
    <col min="30" max="30" width="7" bestFit="1" customWidth="1"/>
    <col min="31" max="31" width="3" customWidth="1"/>
  </cols>
  <sheetData>
    <row r="1" spans="2:29" s="49" customFormat="1" x14ac:dyDescent="0.25"/>
    <row r="2" spans="2:29" s="49" customFormat="1" x14ac:dyDescent="0.25"/>
    <row r="3" spans="2:29" s="49" customFormat="1" x14ac:dyDescent="0.25"/>
    <row r="4" spans="2:29" s="49" customFormat="1" x14ac:dyDescent="0.25"/>
    <row r="5" spans="2:29" s="49" customFormat="1" ht="26.25" x14ac:dyDescent="0.4">
      <c r="D5" s="214" t="s">
        <v>124</v>
      </c>
    </row>
    <row r="6" spans="2:29" s="49" customFormat="1" x14ac:dyDescent="0.25"/>
    <row r="7" spans="2:29" x14ac:dyDescent="0.25">
      <c r="L7" s="80"/>
      <c r="Y7" s="175"/>
    </row>
    <row r="8" spans="2:29" s="49" customFormat="1" ht="18.75" x14ac:dyDescent="0.3">
      <c r="D8" s="548" t="s">
        <v>92</v>
      </c>
      <c r="E8" s="549"/>
      <c r="F8" s="549"/>
      <c r="G8" s="550"/>
      <c r="H8" s="548" t="s">
        <v>96</v>
      </c>
      <c r="I8" s="549"/>
      <c r="J8" s="549"/>
      <c r="K8" s="550"/>
      <c r="L8" s="548" t="s">
        <v>64</v>
      </c>
      <c r="M8" s="549"/>
      <c r="N8" s="549"/>
      <c r="O8" s="549"/>
      <c r="P8" s="549"/>
      <c r="Q8" s="549"/>
      <c r="R8" s="549"/>
      <c r="S8" s="221"/>
      <c r="T8" s="548" t="s">
        <v>108</v>
      </c>
      <c r="U8" s="549"/>
      <c r="V8" s="549"/>
      <c r="W8" s="550"/>
      <c r="X8" s="176"/>
      <c r="Y8" s="175"/>
      <c r="Z8" s="548" t="s">
        <v>97</v>
      </c>
      <c r="AA8" s="549"/>
      <c r="AB8" s="549"/>
      <c r="AC8" s="550"/>
    </row>
    <row r="9" spans="2:29" s="49" customFormat="1" x14ac:dyDescent="0.25">
      <c r="D9" s="103">
        <v>2015</v>
      </c>
      <c r="E9" s="103" t="str">
        <f>"+2016"</f>
        <v>+2016</v>
      </c>
      <c r="F9" s="103" t="s">
        <v>197</v>
      </c>
      <c r="G9" s="103" t="s">
        <v>193</v>
      </c>
      <c r="H9" s="110">
        <v>2015</v>
      </c>
      <c r="I9" s="110" t="s">
        <v>167</v>
      </c>
      <c r="J9" s="110" t="str">
        <f>F9</f>
        <v>Alt 1</v>
      </c>
      <c r="K9" s="110" t="s">
        <v>193</v>
      </c>
      <c r="L9" s="551" t="s">
        <v>93</v>
      </c>
      <c r="M9" s="552"/>
      <c r="N9" s="551" t="s">
        <v>167</v>
      </c>
      <c r="O9" s="552"/>
      <c r="P9" s="551" t="str">
        <f>F9</f>
        <v>Alt 1</v>
      </c>
      <c r="Q9" s="552"/>
      <c r="R9" s="551" t="s">
        <v>168</v>
      </c>
      <c r="S9" s="552"/>
      <c r="T9" s="166" t="s">
        <v>93</v>
      </c>
      <c r="U9" s="166" t="s">
        <v>66</v>
      </c>
      <c r="V9" s="166" t="s">
        <v>94</v>
      </c>
      <c r="W9" s="166" t="s">
        <v>95</v>
      </c>
      <c r="X9" s="166" t="s">
        <v>77</v>
      </c>
      <c r="Y9" s="175"/>
      <c r="Z9" s="160" t="s">
        <v>67</v>
      </c>
      <c r="AA9" s="161" t="s">
        <v>30</v>
      </c>
      <c r="AB9" s="161" t="s">
        <v>31</v>
      </c>
      <c r="AC9" s="160" t="s">
        <v>33</v>
      </c>
    </row>
    <row r="10" spans="2:29" x14ac:dyDescent="0.25">
      <c r="B10" s="183">
        <v>1</v>
      </c>
      <c r="C10" s="183">
        <v>2019</v>
      </c>
      <c r="D10" s="390">
        <f>'Total Curr Schedule'!R16/1000000</f>
        <v>24.957121277739951</v>
      </c>
      <c r="E10" s="390">
        <f>'Total Curr w2016 Loss'!AA16/1000000</f>
        <v>25.045775982986491</v>
      </c>
      <c r="F10" s="390">
        <f>'Total Alt Schedule @ 7%'!AA16/1000000</f>
        <v>30.470113894000754</v>
      </c>
      <c r="G10" s="390" t="e">
        <f>'Total Alt Sched @ 6.5%'!#REF!/1000000</f>
        <v>#REF!</v>
      </c>
      <c r="H10" s="390">
        <v>0</v>
      </c>
      <c r="I10" s="390">
        <f>D10-E10</f>
        <v>-8.8654705246540288E-2</v>
      </c>
      <c r="J10" s="390">
        <f>E10-F10</f>
        <v>-5.4243379110142627</v>
      </c>
      <c r="K10" s="391" t="e">
        <f>E10-G10</f>
        <v>#REF!</v>
      </c>
      <c r="L10" s="185">
        <f>'Total Curr Schedule'!P16/1000000</f>
        <v>273.11712531406926</v>
      </c>
      <c r="M10" s="186"/>
      <c r="N10" s="240">
        <f>('Misc Curr Schd w2016Loss &amp; DC'!Y16+'Safety Curr Schedule w2016Loss '!Y16)/1000000</f>
        <v>341.11112870063863</v>
      </c>
      <c r="O10" s="186"/>
      <c r="P10" s="186">
        <f>'Total Alt Schedule @ 7%'!Y16/1000000</f>
        <v>371.85672909223365</v>
      </c>
      <c r="Q10" s="186"/>
      <c r="R10" s="186" t="e">
        <f>'Total Alt Sched @ 6.5%'!#REF!/1000000</f>
        <v>#REF!</v>
      </c>
      <c r="S10" s="186"/>
      <c r="T10" s="187">
        <f t="shared" ref="T10:T37" si="0">($X10-L10)/$X10</f>
        <v>0.37600061329040413</v>
      </c>
      <c r="U10" s="188">
        <f t="shared" ref="U10:U15" si="1">($X10-N10)/$X10</f>
        <v>0.22065255020443167</v>
      </c>
      <c r="V10" s="188">
        <f t="shared" ref="V10:V15" si="2">($X10-P10)/$X10</f>
        <v>0.15040709867402446</v>
      </c>
      <c r="W10" s="188" t="e">
        <f t="shared" ref="W10:W20" si="3">($X10-R10)/$X10</f>
        <v>#REF!</v>
      </c>
      <c r="X10" s="177">
        <f>('Misc Curr Schd w2016Loss &amp; DC'!AB14+'Safety Curr ScheduleOLD'!R14)/1000000</f>
        <v>437.688131</v>
      </c>
      <c r="Y10" s="175"/>
      <c r="Z10" s="40" t="s">
        <v>69</v>
      </c>
      <c r="AA10" s="154">
        <v>122667031</v>
      </c>
      <c r="AB10" s="155">
        <v>103621859</v>
      </c>
      <c r="AC10" s="156">
        <f>SUM(AA10:AB10)</f>
        <v>226288890</v>
      </c>
    </row>
    <row r="11" spans="2:29" x14ac:dyDescent="0.25">
      <c r="B11" s="183">
        <f>B10+1</f>
        <v>2</v>
      </c>
      <c r="C11" s="183">
        <f t="shared" ref="C11:C39" si="4">C10+1</f>
        <v>2020</v>
      </c>
      <c r="D11" s="390">
        <f>'Total Curr Schedule'!R17/1000000</f>
        <v>25.120283242114883</v>
      </c>
      <c r="E11" s="390">
        <f>'Total Curr w2016 Loss'!AA17/1000000</f>
        <v>26.802189242117766</v>
      </c>
      <c r="F11" s="390">
        <f>'Total Alt Schedule @ 7%'!AA17/1000000</f>
        <v>31.384217310820784</v>
      </c>
      <c r="G11" s="390" t="e">
        <f>'Total Alt Sched @ 6.5%'!#REF!/1000000</f>
        <v>#REF!</v>
      </c>
      <c r="H11" s="390">
        <v>0</v>
      </c>
      <c r="I11" s="390">
        <f>D11-E11</f>
        <v>-1.6819060000028827</v>
      </c>
      <c r="J11" s="390">
        <f>E11-F11</f>
        <v>-4.5820280687030177</v>
      </c>
      <c r="K11" s="391" t="e">
        <f>E11-G11</f>
        <v>#REF!</v>
      </c>
      <c r="L11" s="185">
        <f>'Total Curr Schedule'!P17/1000000</f>
        <v>267.57511396542657</v>
      </c>
      <c r="M11" s="189">
        <f>IF(L11&gt;L10,1,0)</f>
        <v>0</v>
      </c>
      <c r="N11" s="240">
        <f>('Misc Curr Schd w2016Loss &amp; DC'!Y17+'Safety Curr Schedule w2016Loss '!Y17)/1000000</f>
        <v>367.20531648542703</v>
      </c>
      <c r="O11" s="189">
        <f>IF(N11&gt;N10,1,0)</f>
        <v>1</v>
      </c>
      <c r="P11" s="186">
        <f>'Total Alt Schedule @ 7%'!Y17/1000000</f>
        <v>367.68578402256765</v>
      </c>
      <c r="Q11" s="189">
        <f t="shared" ref="Q11:Q24" si="5">IF(P11&gt;P10,1,0)</f>
        <v>0</v>
      </c>
      <c r="R11" s="186" t="e">
        <f>'Total Alt Sched @ 6.5%'!#REF!/1000000</f>
        <v>#REF!</v>
      </c>
      <c r="S11" s="189"/>
      <c r="T11" s="190">
        <f t="shared" si="0"/>
        <v>0.4201485563537678</v>
      </c>
      <c r="U11" s="191">
        <f t="shared" si="1"/>
        <v>0.20424388605078397</v>
      </c>
      <c r="V11" s="191">
        <f t="shared" si="2"/>
        <v>0.20320268385934204</v>
      </c>
      <c r="W11" s="191" t="e">
        <f t="shared" si="3"/>
        <v>#REF!</v>
      </c>
      <c r="X11" s="177">
        <f>('Misc Curr Schd w2016Loss &amp; DC'!AB15+'Safety Curr ScheduleOLD'!R15)/1000000</f>
        <v>461.45459651329998</v>
      </c>
      <c r="Y11" s="175"/>
      <c r="Z11" s="22" t="s">
        <v>70</v>
      </c>
      <c r="AA11" s="157">
        <v>11038358</v>
      </c>
      <c r="AB11" s="158">
        <v>6922065</v>
      </c>
      <c r="AC11" s="135">
        <f>SUM(AA11:AB11)</f>
        <v>17960423</v>
      </c>
    </row>
    <row r="12" spans="2:29" x14ac:dyDescent="0.25">
      <c r="B12" s="183">
        <f t="shared" ref="B12:B39" si="6">B11+1</f>
        <v>3</v>
      </c>
      <c r="C12" s="183">
        <f t="shared" si="4"/>
        <v>2021</v>
      </c>
      <c r="D12" s="390">
        <f>'Total Curr Schedule'!R18/1000000</f>
        <v>25.270773515202333</v>
      </c>
      <c r="E12" s="390">
        <f>'Total Curr w2016 Loss'!AA18/1000000</f>
        <v>28.628586436755985</v>
      </c>
      <c r="F12" s="390">
        <f>'Total Alt Schedule @ 7%'!AA18/1000000</f>
        <v>32.325743830145399</v>
      </c>
      <c r="G12" s="390" t="e">
        <f>'Total Alt Sched @ 6.5%'!#REF!/1000000</f>
        <v>#REF!</v>
      </c>
      <c r="H12" s="390">
        <v>0</v>
      </c>
      <c r="I12" s="390">
        <f t="shared" ref="I12:I39" si="7">D12-E12</f>
        <v>-3.3578129215536521</v>
      </c>
      <c r="J12" s="390">
        <f t="shared" ref="J12:J39" si="8">E12-F12</f>
        <v>-3.6971573933894142</v>
      </c>
      <c r="K12" s="391" t="e">
        <f t="shared" ref="K12:K39" si="9">E12-G12</f>
        <v>#REF!</v>
      </c>
      <c r="L12" s="185">
        <f>'Total Curr Schedule'!P18/1000000</f>
        <v>261.59798350137874</v>
      </c>
      <c r="M12" s="189">
        <f t="shared" ref="M12:O39" si="10">IF(L12&gt;L11,1,0)</f>
        <v>0</v>
      </c>
      <c r="N12" s="240">
        <f>('Misc Curr Schd w2016Loss &amp; DC'!Y18+'Safety Curr Schedule w2016Loss '!Y18)/1000000</f>
        <v>366.45260442382403</v>
      </c>
      <c r="O12" s="189">
        <f t="shared" si="10"/>
        <v>0</v>
      </c>
      <c r="P12" s="186">
        <f>'Total Alt Schedule @ 7%'!Y18/1000000</f>
        <v>362.25719501925772</v>
      </c>
      <c r="Q12" s="189">
        <f t="shared" si="5"/>
        <v>0</v>
      </c>
      <c r="R12" s="186" t="e">
        <f>'Total Alt Sched @ 6.5%'!#REF!/1000000</f>
        <v>#REF!</v>
      </c>
      <c r="S12" s="189"/>
      <c r="T12" s="190">
        <f t="shared" si="0"/>
        <v>0.46229854815013599</v>
      </c>
      <c r="U12" s="191">
        <f t="shared" si="1"/>
        <v>0.24677516701188337</v>
      </c>
      <c r="V12" s="191">
        <f t="shared" si="2"/>
        <v>0.25539861929445035</v>
      </c>
      <c r="W12" s="191" t="e">
        <f t="shared" si="3"/>
        <v>#REF!</v>
      </c>
      <c r="X12" s="177">
        <f>('Misc Curr Schd w2016Loss &amp; DC'!AB16+'Safety Curr ScheduleOLD'!R16)/1000000</f>
        <v>486.51158110397222</v>
      </c>
      <c r="Y12" s="175"/>
      <c r="Z12" s="22" t="s">
        <v>71</v>
      </c>
      <c r="AA12" s="157">
        <v>11951694</v>
      </c>
      <c r="AB12" s="158">
        <v>3472891</v>
      </c>
      <c r="AC12" s="135">
        <f>SUM(AA12:AB12)</f>
        <v>15424585</v>
      </c>
    </row>
    <row r="13" spans="2:29" x14ac:dyDescent="0.25">
      <c r="B13" s="183">
        <f t="shared" si="6"/>
        <v>4</v>
      </c>
      <c r="C13" s="183">
        <f t="shared" si="4"/>
        <v>2022</v>
      </c>
      <c r="D13" s="390">
        <f>'Total Curr Schedule'!R19/1000000</f>
        <v>25.407684949757126</v>
      </c>
      <c r="E13" s="390">
        <f>'Total Curr w2016 Loss'!AA19/1000000</f>
        <v>30.491471021183539</v>
      </c>
      <c r="F13" s="390">
        <f>'Total Alt Schedule @ 7%'!AA19/1000000</f>
        <v>33.295516145049767</v>
      </c>
      <c r="G13" s="390" t="e">
        <f>'Total Alt Sched @ 6.5%'!#REF!/1000000</f>
        <v>#REF!</v>
      </c>
      <c r="H13" s="390">
        <v>0</v>
      </c>
      <c r="I13" s="390">
        <f t="shared" si="7"/>
        <v>-5.0837860714264131</v>
      </c>
      <c r="J13" s="390">
        <f t="shared" si="8"/>
        <v>-2.8040451238662278</v>
      </c>
      <c r="K13" s="391" t="e">
        <f t="shared" si="9"/>
        <v>#REF!</v>
      </c>
      <c r="L13" s="185">
        <f>'Total Curr Schedule'!P19/1000000</f>
        <v>255.01653661642106</v>
      </c>
      <c r="M13" s="189">
        <f t="shared" si="10"/>
        <v>0</v>
      </c>
      <c r="N13" s="240">
        <f>('Misc Curr Schd w2016Loss &amp; DC'!Y19+'Safety Curr Schedule w2016Loss '!Y19)/1000000</f>
        <v>364.25105024551431</v>
      </c>
      <c r="O13" s="189">
        <f t="shared" si="10"/>
        <v>0</v>
      </c>
      <c r="P13" s="186">
        <f>'Total Alt Schedule @ 7%'!Y19/1000000</f>
        <v>355.44948290141701</v>
      </c>
      <c r="Q13" s="189">
        <f t="shared" si="5"/>
        <v>0</v>
      </c>
      <c r="R13" s="186" t="e">
        <f>'Total Alt Sched @ 6.5%'!#REF!/1000000</f>
        <v>#REF!</v>
      </c>
      <c r="S13" s="189"/>
      <c r="T13" s="190">
        <f t="shared" si="0"/>
        <v>0.50282308645243856</v>
      </c>
      <c r="U13" s="191">
        <f t="shared" si="1"/>
        <v>0.28986090345224569</v>
      </c>
      <c r="V13" s="191">
        <f t="shared" si="2"/>
        <v>0.30702032434541426</v>
      </c>
      <c r="W13" s="191" t="e">
        <f t="shared" si="3"/>
        <v>#REF!</v>
      </c>
      <c r="X13" s="177">
        <f>('Misc Curr Schd w2016Loss &amp; DC'!AB17+'Safety Curr ScheduleOLD'!R17)/1000000</f>
        <v>512.92915995791782</v>
      </c>
      <c r="Y13" s="175"/>
      <c r="Z13" s="22" t="s">
        <v>73</v>
      </c>
      <c r="AA13" s="163">
        <v>171199572</v>
      </c>
      <c r="AB13" s="164">
        <v>323671316</v>
      </c>
      <c r="AC13" s="165">
        <f>SUM(AA13:AB13)</f>
        <v>494870888</v>
      </c>
    </row>
    <row r="14" spans="2:29" x14ac:dyDescent="0.25">
      <c r="B14" s="183">
        <f t="shared" si="6"/>
        <v>5</v>
      </c>
      <c r="C14" s="183">
        <f t="shared" si="4"/>
        <v>2023</v>
      </c>
      <c r="D14" s="390">
        <f>'Total Curr Schedule'!R20/1000000</f>
        <v>26.627752340686293</v>
      </c>
      <c r="E14" s="390">
        <f>'Total Curr w2016 Loss'!AA20/1000000</f>
        <v>33.518716707046636</v>
      </c>
      <c r="F14" s="390">
        <f>'Total Alt Schedule @ 7%'!AA20/1000000</f>
        <v>34.294381629401265</v>
      </c>
      <c r="G14" s="390" t="e">
        <f>'Total Alt Sched @ 6.5%'!#REF!/1000000</f>
        <v>#REF!</v>
      </c>
      <c r="H14" s="390">
        <v>0</v>
      </c>
      <c r="I14" s="390">
        <f t="shared" si="7"/>
        <v>-6.8909643663603433</v>
      </c>
      <c r="J14" s="390">
        <f t="shared" si="8"/>
        <v>-0.77566492235462903</v>
      </c>
      <c r="K14" s="391" t="e">
        <f t="shared" si="9"/>
        <v>#REF!</v>
      </c>
      <c r="L14" s="185">
        <f>'Total Curr Schedule'!P20/1000000</f>
        <v>247.79952841842936</v>
      </c>
      <c r="M14" s="189">
        <f t="shared" si="10"/>
        <v>0</v>
      </c>
      <c r="N14" s="240">
        <f>('Misc Curr Schd w2016Loss &amp; DC'!Y20+'Safety Curr Schedule w2016Loss '!Y20)/1000000</f>
        <v>360.37004857055717</v>
      </c>
      <c r="O14" s="189">
        <f t="shared" si="10"/>
        <v>0</v>
      </c>
      <c r="P14" s="186">
        <f>'Total Alt Schedule @ 7%'!Y20/1000000</f>
        <v>347.13132608941783</v>
      </c>
      <c r="Q14" s="189">
        <f t="shared" si="5"/>
        <v>0</v>
      </c>
      <c r="R14" s="186" t="e">
        <f>'Total Alt Sched @ 6.5%'!#REF!/1000000</f>
        <v>#REF!</v>
      </c>
      <c r="S14" s="189"/>
      <c r="T14" s="190">
        <f t="shared" si="0"/>
        <v>0.54177489471889584</v>
      </c>
      <c r="U14" s="191">
        <f t="shared" si="1"/>
        <v>0.33361211580853412</v>
      </c>
      <c r="V14" s="191">
        <f t="shared" si="2"/>
        <v>0.35809285248073608</v>
      </c>
      <c r="W14" s="191" t="e">
        <f t="shared" si="3"/>
        <v>#REF!</v>
      </c>
      <c r="X14" s="177">
        <f>('Misc Curr Schd w2016Loss &amp; DC'!AB18+'Safety Curr ScheduleOLD'!R18)/1000000</f>
        <v>540.78121334363277</v>
      </c>
      <c r="Y14" s="175"/>
      <c r="Z14" s="22" t="s">
        <v>72</v>
      </c>
      <c r="AA14" s="159">
        <f>SUM(AA10:AA13)</f>
        <v>316856655</v>
      </c>
      <c r="AB14" s="134">
        <v>437688131</v>
      </c>
      <c r="AC14" s="135">
        <f>SUM(AA14:AB14)</f>
        <v>754544786</v>
      </c>
    </row>
    <row r="15" spans="2:29" x14ac:dyDescent="0.25">
      <c r="B15" s="183">
        <f t="shared" si="6"/>
        <v>6</v>
      </c>
      <c r="C15" s="183">
        <f t="shared" si="4"/>
        <v>2024</v>
      </c>
      <c r="D15" s="390">
        <f>'Total Curr Schedule'!R21/1000000</f>
        <v>27.426584910906865</v>
      </c>
      <c r="E15" s="390">
        <f>'Total Curr w2016 Loss'!AA21/1000000</f>
        <v>36.254845861836991</v>
      </c>
      <c r="F15" s="390">
        <f>'Total Alt Schedule @ 7%'!AA21/1000000</f>
        <v>35.323213078283295</v>
      </c>
      <c r="G15" s="390" t="e">
        <f>'Total Alt Sched @ 6.5%'!#REF!/1000000</f>
        <v>#REF!</v>
      </c>
      <c r="H15" s="390">
        <v>0</v>
      </c>
      <c r="I15" s="390">
        <f t="shared" si="7"/>
        <v>-8.828260950930126</v>
      </c>
      <c r="J15" s="390">
        <f t="shared" si="8"/>
        <v>0.93163278355369528</v>
      </c>
      <c r="K15" s="391" t="e">
        <f t="shared" si="9"/>
        <v>#REF!</v>
      </c>
      <c r="L15" s="185">
        <f>'Total Curr Schedule'!P21/1000000</f>
        <v>238.77625181063277</v>
      </c>
      <c r="M15" s="189">
        <f t="shared" si="10"/>
        <v>0</v>
      </c>
      <c r="N15" s="240">
        <f>('Misc Curr Schd w2016Loss &amp; DC'!Y21+'Safety Curr Schedule w2016Loss '!Y21)/1000000</f>
        <v>353.04705475703008</v>
      </c>
      <c r="O15" s="189">
        <f t="shared" si="10"/>
        <v>0</v>
      </c>
      <c r="P15" s="186">
        <f>'Total Alt Schedule @ 7%'!Y21/1000000</f>
        <v>337.1608063063295</v>
      </c>
      <c r="Q15" s="189">
        <f t="shared" si="5"/>
        <v>0</v>
      </c>
      <c r="R15" s="186" t="e">
        <f>'Total Alt Sched @ 6.5%'!#REF!/1000000</f>
        <v>#REF!</v>
      </c>
      <c r="S15" s="189"/>
      <c r="T15" s="190">
        <f t="shared" si="0"/>
        <v>0.58120129683591526</v>
      </c>
      <c r="U15" s="191">
        <f t="shared" si="1"/>
        <v>0.38077741162716511</v>
      </c>
      <c r="V15" s="191">
        <f t="shared" si="2"/>
        <v>0.40864090390851765</v>
      </c>
      <c r="W15" s="194" t="e">
        <f t="shared" si="3"/>
        <v>#REF!</v>
      </c>
      <c r="X15" s="177">
        <f>('Misc Curr Schd w2016Loss &amp; DC'!AB19+'Safety Curr ScheduleOLD'!R19)/1000000</f>
        <v>570.14563322819208</v>
      </c>
      <c r="Y15" s="175"/>
      <c r="Z15" s="22" t="s">
        <v>68</v>
      </c>
      <c r="AA15" s="52"/>
      <c r="AB15" s="52"/>
      <c r="AC15" s="21"/>
    </row>
    <row r="16" spans="2:29" x14ac:dyDescent="0.25">
      <c r="B16" s="183">
        <f t="shared" si="6"/>
        <v>7</v>
      </c>
      <c r="C16" s="183">
        <f t="shared" si="4"/>
        <v>2025</v>
      </c>
      <c r="D16" s="390">
        <f>'Total Curr Schedule'!R22/1000000</f>
        <v>28.24938245823407</v>
      </c>
      <c r="E16" s="390">
        <f>'Total Curr w2016 Loss'!AA22/1000000</f>
        <v>37.280769161154375</v>
      </c>
      <c r="F16" s="390">
        <f>'Total Alt Schedule @ 7%'!AA22/1000000</f>
        <v>36.382909470631795</v>
      </c>
      <c r="G16" s="390" t="e">
        <f>'Total Alt Sched @ 6.5%'!#REF!/1000000</f>
        <v>#REF!</v>
      </c>
      <c r="H16" s="390">
        <v>0</v>
      </c>
      <c r="I16" s="390">
        <f t="shared" si="7"/>
        <v>-9.0313867029203045</v>
      </c>
      <c r="J16" s="390">
        <f t="shared" si="8"/>
        <v>0.89785969052257997</v>
      </c>
      <c r="K16" s="391" t="e">
        <f t="shared" si="9"/>
        <v>#REF!</v>
      </c>
      <c r="L16" s="185">
        <f>'Total Curr Schedule'!P22/1000000</f>
        <v>228.24798222007607</v>
      </c>
      <c r="M16" s="189">
        <f t="shared" si="10"/>
        <v>0</v>
      </c>
      <c r="N16" s="240">
        <f>('Misc Curr Schd w2016Loss &amp; DC'!Y22+'Safety Curr Schedule w2016Loss '!Y22)/1000000</f>
        <v>342.33713570698455</v>
      </c>
      <c r="O16" s="189">
        <f t="shared" si="10"/>
        <v>0</v>
      </c>
      <c r="P16" s="186">
        <f>'Total Alt Schedule @ 7%'!Y22/1000000</f>
        <v>325.38459763116327</v>
      </c>
      <c r="Q16" s="189">
        <f t="shared" si="5"/>
        <v>0</v>
      </c>
      <c r="R16" s="186" t="e">
        <f>'Total Alt Sched @ 6.5%'!#REF!/1000000</f>
        <v>#REF!</v>
      </c>
      <c r="S16" s="189"/>
      <c r="T16" s="190">
        <f t="shared" si="0"/>
        <v>0.62028571303479019</v>
      </c>
      <c r="U16" s="191">
        <f t="shared" ref="U16:U29" si="11">($X16-N16)/$X16</f>
        <v>0.43048652556606787</v>
      </c>
      <c r="V16" s="194">
        <f>($X16-P16)/$X16+0.0005</f>
        <v>0.45918883800318022</v>
      </c>
      <c r="W16" s="191" t="e">
        <f t="shared" si="3"/>
        <v>#REF!</v>
      </c>
      <c r="X16" s="177">
        <f>('Misc Curr Schd w2016Loss &amp; DC'!AB20+'Safety Curr ScheduleOLD'!R20)/1000000</f>
        <v>601.10454111248293</v>
      </c>
      <c r="Y16" s="175"/>
      <c r="Z16" s="192" t="s">
        <v>139</v>
      </c>
      <c r="AA16" s="162">
        <f>AA10/AA14</f>
        <v>0.38713730345982478</v>
      </c>
      <c r="AB16" s="162">
        <f>AB10/AB14</f>
        <v>0.2367481584735959</v>
      </c>
      <c r="AC16" s="162">
        <f>AC10/AC14</f>
        <v>0.29990120427391037</v>
      </c>
    </row>
    <row r="17" spans="2:30" x14ac:dyDescent="0.25">
      <c r="B17" s="183">
        <f t="shared" si="6"/>
        <v>8</v>
      </c>
      <c r="C17" s="183">
        <f t="shared" si="4"/>
        <v>2026</v>
      </c>
      <c r="D17" s="390">
        <f>'Total Curr Schedule'!R23/1000000</f>
        <v>29.096863931981098</v>
      </c>
      <c r="E17" s="390">
        <f>'Total Curr w2016 Loss'!AA23/1000000</f>
        <v>38.334754006433606</v>
      </c>
      <c r="F17" s="390">
        <f>'Total Alt Schedule @ 7%'!AA23/1000000</f>
        <v>37.474396754750764</v>
      </c>
      <c r="G17" s="390" t="e">
        <f>'Total Alt Sched @ 6.5%'!#REF!/1000000</f>
        <v>#REF!</v>
      </c>
      <c r="H17" s="390">
        <v>0</v>
      </c>
      <c r="I17" s="390">
        <f t="shared" si="7"/>
        <v>-9.2378900744525083</v>
      </c>
      <c r="J17" s="390">
        <f t="shared" si="8"/>
        <v>0.86035725168284216</v>
      </c>
      <c r="K17" s="391" t="e">
        <f t="shared" si="9"/>
        <v>#REF!</v>
      </c>
      <c r="L17" s="185">
        <f>'Total Curr Schedule'!P23/1000000</f>
        <v>216.07699775593696</v>
      </c>
      <c r="M17" s="189">
        <f t="shared" si="10"/>
        <v>0</v>
      </c>
      <c r="N17" s="240">
        <f>('Misc Curr Schd w2016Loss &amp; DC'!Y23+'Safety Curr Schedule w2016Loss '!Y23)/1000000</f>
        <v>328.88874235388079</v>
      </c>
      <c r="O17" s="189">
        <f t="shared" si="10"/>
        <v>0</v>
      </c>
      <c r="P17" s="186">
        <f>'Total Alt Schedule @ 7%'!Y23/1000000</f>
        <v>311.6370946815826</v>
      </c>
      <c r="Q17" s="189">
        <f t="shared" si="5"/>
        <v>0</v>
      </c>
      <c r="R17" s="186" t="e">
        <f>'Total Alt Sched @ 6.5%'!#REF!/1000000</f>
        <v>#REF!</v>
      </c>
      <c r="S17" s="189"/>
      <c r="T17" s="190">
        <f t="shared" si="0"/>
        <v>0.65904715272035719</v>
      </c>
      <c r="U17" s="191">
        <f t="shared" si="11"/>
        <v>0.48103891525540482</v>
      </c>
      <c r="V17" s="191">
        <f t="shared" ref="V17:V25" si="12">($X17-P17)/$X17</f>
        <v>0.50826068552814396</v>
      </c>
      <c r="W17" s="191" t="e">
        <f t="shared" si="3"/>
        <v>#REF!</v>
      </c>
      <c r="X17" s="177">
        <f>('Misc Curr Schd w2016Loss &amp; DC'!AB21+'Safety Curr ScheduleOLD'!R21)/1000000</f>
        <v>633.74451769489076</v>
      </c>
      <c r="Y17" s="175"/>
      <c r="Z17" s="212" t="s">
        <v>140</v>
      </c>
      <c r="AA17" s="213">
        <f>1-AA16</f>
        <v>0.61286269654017522</v>
      </c>
      <c r="AB17" s="213">
        <f>1-AB16</f>
        <v>0.76325184152640413</v>
      </c>
      <c r="AC17" s="213">
        <f>1-AC16</f>
        <v>0.70009879572608957</v>
      </c>
    </row>
    <row r="18" spans="2:30" x14ac:dyDescent="0.25">
      <c r="B18" s="183">
        <f t="shared" si="6"/>
        <v>9</v>
      </c>
      <c r="C18" s="183">
        <f t="shared" si="4"/>
        <v>2027</v>
      </c>
      <c r="D18" s="390">
        <f>'Total Curr Schedule'!R24/1000000</f>
        <v>29.969769849940526</v>
      </c>
      <c r="E18" s="390">
        <f>'Total Curr w2016 Loss'!AA24/1000000</f>
        <v>39.417537193284694</v>
      </c>
      <c r="F18" s="390">
        <f>'Total Alt Schedule @ 7%'!AA24/1000000</f>
        <v>38.59862865739327</v>
      </c>
      <c r="G18" s="390" t="e">
        <f>'Total Alt Sched @ 6.5%'!#REF!/1000000</f>
        <v>#REF!</v>
      </c>
      <c r="H18" s="390">
        <v>0</v>
      </c>
      <c r="I18" s="390">
        <f t="shared" si="7"/>
        <v>-9.447767343344168</v>
      </c>
      <c r="J18" s="390">
        <f t="shared" si="8"/>
        <v>0.81890853589142409</v>
      </c>
      <c r="K18" s="391" t="e">
        <f t="shared" si="9"/>
        <v>#REF!</v>
      </c>
      <c r="L18" s="185">
        <f>'Total Curr Schedule'!P24/1000000</f>
        <v>202.11450196306808</v>
      </c>
      <c r="M18" s="189">
        <f t="shared" si="10"/>
        <v>0</v>
      </c>
      <c r="N18" s="240">
        <f>('Misc Curr Schd w2016Loss &amp; DC'!Y24+'Safety Curr Schedule w2016Loss '!Y24)/1000000</f>
        <v>312.72553451631035</v>
      </c>
      <c r="O18" s="189">
        <f t="shared" si="10"/>
        <v>0</v>
      </c>
      <c r="P18" s="186">
        <f>'Total Alt Schedule @ 7%'!Y24/1000000</f>
        <v>295.73947538983941</v>
      </c>
      <c r="Q18" s="189">
        <f t="shared" si="5"/>
        <v>0</v>
      </c>
      <c r="R18" s="186" t="e">
        <f>'Total Alt Sched @ 6.5%'!#REF!/1000000</f>
        <v>#REF!</v>
      </c>
      <c r="S18" s="189"/>
      <c r="T18" s="190">
        <f t="shared" si="0"/>
        <v>0.69750440562898552</v>
      </c>
      <c r="U18" s="194">
        <f t="shared" si="11"/>
        <v>0.5319578975298358</v>
      </c>
      <c r="V18" s="191">
        <f t="shared" si="12"/>
        <v>0.55738016066077101</v>
      </c>
      <c r="W18" s="191" t="e">
        <f t="shared" si="3"/>
        <v>#REF!</v>
      </c>
      <c r="X18" s="177">
        <f>('Misc Curr Schd w2016Loss &amp; DC'!AB22+'Safety Curr ScheduleOLD'!R22)/1000000</f>
        <v>668.15684500572331</v>
      </c>
      <c r="Y18" s="175"/>
      <c r="Z18" s="153"/>
      <c r="AA18" s="96"/>
      <c r="AB18" s="96"/>
      <c r="AC18" s="96"/>
    </row>
    <row r="19" spans="2:30" x14ac:dyDescent="0.25">
      <c r="B19" s="241">
        <f t="shared" si="6"/>
        <v>10</v>
      </c>
      <c r="C19" s="241">
        <f t="shared" si="4"/>
        <v>2028</v>
      </c>
      <c r="D19" s="390">
        <f>'Total Curr Schedule'!R25/1000000</f>
        <v>30.86886294543875</v>
      </c>
      <c r="E19" s="390">
        <f>'Total Curr w2016 Loss'!AA25/1000000</f>
        <v>40.529874264998568</v>
      </c>
      <c r="F19" s="390">
        <f>'Total Alt Schedule @ 7%'!AA25/1000000</f>
        <v>39.756587517115072</v>
      </c>
      <c r="G19" s="390" t="e">
        <f>'Total Alt Sched @ 6.5%'!#REF!/1000000</f>
        <v>#REF!</v>
      </c>
      <c r="H19" s="390">
        <v>0</v>
      </c>
      <c r="I19" s="390">
        <f t="shared" si="7"/>
        <v>-9.6610113195598188</v>
      </c>
      <c r="J19" s="390">
        <f t="shared" si="8"/>
        <v>0.77328674788349616</v>
      </c>
      <c r="K19" s="391" t="e">
        <f t="shared" si="9"/>
        <v>#REF!</v>
      </c>
      <c r="L19" s="185">
        <f>'Total Curr Schedule'!P25/1000000</f>
        <v>186.19977086699711</v>
      </c>
      <c r="M19" s="189">
        <f t="shared" si="10"/>
        <v>0</v>
      </c>
      <c r="N19" s="240">
        <f>('Misc Curr Schd w2016Loss &amp; DC'!Y25+'Safety Curr Schedule w2016Loss '!Y25)/1000000</f>
        <v>294.25533953603968</v>
      </c>
      <c r="O19" s="189">
        <f t="shared" si="10"/>
        <v>0</v>
      </c>
      <c r="P19" s="186">
        <f>'Total Alt Schedule @ 7%'!Y25/1000000</f>
        <v>277.49869349849854</v>
      </c>
      <c r="Q19" s="189">
        <f t="shared" si="5"/>
        <v>0</v>
      </c>
      <c r="R19" s="186" t="e">
        <f>'Total Alt Sched @ 6.5%'!#REF!/1000000</f>
        <v>#REF!</v>
      </c>
      <c r="S19" s="189"/>
      <c r="T19" s="190">
        <f t="shared" si="0"/>
        <v>0.73567605118099744</v>
      </c>
      <c r="U19" s="191">
        <f t="shared" si="11"/>
        <v>0.58228341020462449</v>
      </c>
      <c r="V19" s="191">
        <f t="shared" si="12"/>
        <v>0.60607067282574201</v>
      </c>
      <c r="W19" s="191" t="e">
        <f t="shared" si="3"/>
        <v>#REF!</v>
      </c>
      <c r="X19" s="177">
        <f>('Misc Curr Schd w2016Loss &amp; DC'!AB23+'Safety Curr ScheduleOLD'!R23)/1000000</f>
        <v>704.43776168953423</v>
      </c>
      <c r="Y19" s="175"/>
    </row>
    <row r="20" spans="2:30" x14ac:dyDescent="0.25">
      <c r="B20" s="183">
        <f>B19+1</f>
        <v>11</v>
      </c>
      <c r="C20" s="183">
        <f>C19+1</f>
        <v>2029</v>
      </c>
      <c r="D20" s="390">
        <f>'Total Curr Schedule'!R26/1000000</f>
        <v>31.794928833801908</v>
      </c>
      <c r="E20" s="390">
        <f>'Total Curr w2016 Loss'!AA26/1000000</f>
        <v>41.672539996545709</v>
      </c>
      <c r="F20" s="390">
        <f>'Total Alt Schedule @ 7%'!AA26/1000000</f>
        <v>40.949285142628518</v>
      </c>
      <c r="G20" s="390" t="e">
        <f>'Total Alt Sched @ 6.5%'!#REF!/1000000</f>
        <v>#REF!</v>
      </c>
      <c r="H20" s="390">
        <v>0</v>
      </c>
      <c r="I20" s="390">
        <f t="shared" si="7"/>
        <v>-9.8776111627438006</v>
      </c>
      <c r="J20" s="390">
        <f t="shared" si="8"/>
        <v>0.72325485391719013</v>
      </c>
      <c r="K20" s="391" t="e">
        <f t="shared" si="9"/>
        <v>#REF!</v>
      </c>
      <c r="L20" s="185">
        <f>'Total Curr Schedule'!P26/1000000</f>
        <v>168.1592353764218</v>
      </c>
      <c r="M20" s="189">
        <f>IF(L20&gt;L19,1,0)</f>
        <v>0</v>
      </c>
      <c r="N20" s="240">
        <f>('Misc Curr Schd w2016Loss &amp; DC'!Y26+'Safety Curr Schedule w2016Loss '!Y26)/1000000</f>
        <v>273.28140143525781</v>
      </c>
      <c r="O20" s="189">
        <f>IF(N20&gt;N19,1,0)</f>
        <v>0</v>
      </c>
      <c r="P20" s="186">
        <f>'Total Alt Schedule @ 7%'!Y26/1000000</f>
        <v>256.70639554024325</v>
      </c>
      <c r="Q20" s="189">
        <f t="shared" si="5"/>
        <v>0</v>
      </c>
      <c r="R20" s="186" t="e">
        <f>'Total Alt Sched @ 6.5%'!#REF!/1000000</f>
        <v>#REF!</v>
      </c>
      <c r="S20" s="189"/>
      <c r="T20" s="193">
        <f t="shared" si="0"/>
        <v>0.77358046770174671</v>
      </c>
      <c r="U20" s="191">
        <f t="shared" si="11"/>
        <v>0.63203777086478008</v>
      </c>
      <c r="V20" s="191">
        <f t="shared" si="12"/>
        <v>0.65435533834294546</v>
      </c>
      <c r="W20" s="191" t="e">
        <f t="shared" si="3"/>
        <v>#REF!</v>
      </c>
      <c r="X20" s="177">
        <f>('Misc Curr Schd w2016Loss &amp; DC'!AB24+'Safety Curr ScheduleOLD'!R24)/1000000</f>
        <v>742.68873214927589</v>
      </c>
      <c r="Y20" s="175"/>
    </row>
    <row r="21" spans="2:30" ht="17.45" customHeight="1" x14ac:dyDescent="0.3">
      <c r="B21" s="183">
        <f t="shared" si="6"/>
        <v>12</v>
      </c>
      <c r="C21" s="183">
        <f t="shared" si="4"/>
        <v>2030</v>
      </c>
      <c r="D21" s="390">
        <f>'Total Curr Schedule'!R27/1000000</f>
        <v>32.748776698815966</v>
      </c>
      <c r="E21" s="390">
        <f>'Total Curr w2016 Loss'!AA27/1000000</f>
        <v>42.846328892067149</v>
      </c>
      <c r="F21" s="390">
        <f>'Total Alt Schedule @ 7%'!AA27/1000000</f>
        <v>42.177763696907377</v>
      </c>
      <c r="G21" s="390" t="e">
        <f>'Total Alt Sched @ 6.5%'!#REF!/1000000</f>
        <v>#REF!</v>
      </c>
      <c r="H21" s="390">
        <v>0</v>
      </c>
      <c r="I21" s="390">
        <f t="shared" si="7"/>
        <v>-10.097552193251182</v>
      </c>
      <c r="J21" s="390">
        <f t="shared" si="8"/>
        <v>0.66856519515977197</v>
      </c>
      <c r="K21" s="391" t="e">
        <f t="shared" si="9"/>
        <v>#REF!</v>
      </c>
      <c r="L21" s="185">
        <f>'Total Curr Schedule'!P27/1000000</f>
        <v>147.80549417488538</v>
      </c>
      <c r="M21" s="189">
        <f t="shared" si="10"/>
        <v>0</v>
      </c>
      <c r="N21" s="240">
        <f>('Misc Curr Schd w2016Loss &amp; DC'!Y27+'Safety Curr Schedule w2016Loss '!Y27)/1000000</f>
        <v>249.59213331137201</v>
      </c>
      <c r="O21" s="189">
        <f t="shared" si="10"/>
        <v>0</v>
      </c>
      <c r="P21" s="186">
        <f>'Total Alt Schedule @ 7%'!Y27/1000000</f>
        <v>233.13775667689436</v>
      </c>
      <c r="Q21" s="189">
        <f t="shared" si="5"/>
        <v>0</v>
      </c>
      <c r="R21" s="186" t="e">
        <f>'Total Alt Sched @ 6.5%'!#REF!/1000000</f>
        <v>#REF!</v>
      </c>
      <c r="S21" s="189"/>
      <c r="T21" s="190">
        <f t="shared" si="0"/>
        <v>0.81123584151603534</v>
      </c>
      <c r="U21" s="191">
        <f t="shared" si="11"/>
        <v>0.68124291135624016</v>
      </c>
      <c r="V21" s="191">
        <f t="shared" si="12"/>
        <v>0.70225699189583313</v>
      </c>
      <c r="W21" s="191"/>
      <c r="X21" s="177">
        <f>('Misc Curr Schd w2016Loss &amp; DC'!AB25+'Safety Curr ScheduleOLD'!R25)/1000000</f>
        <v>783.01673030498159</v>
      </c>
      <c r="Y21" s="175"/>
      <c r="AA21" s="548" t="s">
        <v>99</v>
      </c>
      <c r="AB21" s="549"/>
      <c r="AC21" s="549"/>
      <c r="AD21" s="550"/>
    </row>
    <row r="22" spans="2:30" x14ac:dyDescent="0.25">
      <c r="B22" s="183">
        <f t="shared" si="6"/>
        <v>13</v>
      </c>
      <c r="C22" s="183">
        <f t="shared" si="4"/>
        <v>2031</v>
      </c>
      <c r="D22" s="390">
        <f>'Total Curr Schedule'!R28/1000000</f>
        <v>33.731239999780463</v>
      </c>
      <c r="E22" s="390">
        <f>'Total Curr w2016 Loss'!AA28/1000000</f>
        <v>44.052055696245731</v>
      </c>
      <c r="F22" s="390">
        <f>'Total Alt Schedule @ 7%'!AA28/1000000</f>
        <v>43.44309660781461</v>
      </c>
      <c r="G22" s="390" t="e">
        <f>'Total Alt Sched @ 6.5%'!#REF!/1000000</f>
        <v>#REF!</v>
      </c>
      <c r="H22" s="390">
        <v>0</v>
      </c>
      <c r="I22" s="390">
        <f t="shared" si="7"/>
        <v>-10.320815696465267</v>
      </c>
      <c r="J22" s="390">
        <f t="shared" si="8"/>
        <v>0.60895908843112068</v>
      </c>
      <c r="K22" s="391" t="e">
        <f t="shared" si="9"/>
        <v>#REF!</v>
      </c>
      <c r="L22" s="185">
        <f>'Total Curr Schedule'!P28/1000000</f>
        <v>124.93625186759068</v>
      </c>
      <c r="M22" s="189">
        <f t="shared" si="10"/>
        <v>0</v>
      </c>
      <c r="N22" s="240">
        <f>('Misc Curr Schd w2016Loss &amp; DC'!Y28+'Safety Curr Schedule w2016Loss '!Y28)/1000000</f>
        <v>222.96004743208357</v>
      </c>
      <c r="O22" s="189">
        <f t="shared" si="10"/>
        <v>0</v>
      </c>
      <c r="P22" s="186">
        <f>'Total Alt Schedule @ 7%'!Y28/1000000</f>
        <v>206.5502293546856</v>
      </c>
      <c r="Q22" s="189">
        <f t="shared" si="5"/>
        <v>0</v>
      </c>
      <c r="R22" s="186" t="e">
        <f>'Total Alt Sched @ 6.5%'!#REF!/1000000</f>
        <v>#REF!</v>
      </c>
      <c r="S22" s="189"/>
      <c r="T22" s="190">
        <f t="shared" si="0"/>
        <v>0.84866017592047682</v>
      </c>
      <c r="U22" s="191">
        <f t="shared" si="11"/>
        <v>0.72992038859229824</v>
      </c>
      <c r="V22" s="191">
        <f t="shared" si="12"/>
        <v>0.74979819782610169</v>
      </c>
      <c r="W22" s="191"/>
      <c r="X22" s="177">
        <f>('Misc Curr Schd w2016Loss &amp; DC'!AB26+'Safety Curr ScheduleOLD'!R26)/1000000</f>
        <v>825.5345387605422</v>
      </c>
      <c r="Y22" s="175"/>
      <c r="AA22" s="210" t="s">
        <v>93</v>
      </c>
      <c r="AB22" s="210" t="s">
        <v>66</v>
      </c>
      <c r="AC22" s="210" t="s">
        <v>94</v>
      </c>
      <c r="AD22" s="210" t="s">
        <v>95</v>
      </c>
    </row>
    <row r="23" spans="2:30" x14ac:dyDescent="0.25">
      <c r="B23" s="183">
        <f t="shared" si="6"/>
        <v>14</v>
      </c>
      <c r="C23" s="183">
        <f t="shared" si="4"/>
        <v>2032</v>
      </c>
      <c r="D23" s="390">
        <f>'Total Curr Schedule'!R29/1000000</f>
        <v>34.743177199773875</v>
      </c>
      <c r="E23" s="390">
        <f>'Total Curr w2016 Loss'!AA29/1000000</f>
        <v>45.290555919955047</v>
      </c>
      <c r="F23" s="390">
        <f>'Total Alt Schedule @ 7%'!AA29/1000000</f>
        <v>44.746389506049049</v>
      </c>
      <c r="G23" s="390" t="e">
        <f>'Total Alt Sched @ 6.5%'!#REF!/1000000</f>
        <v>#REF!</v>
      </c>
      <c r="H23" s="390">
        <v>0</v>
      </c>
      <c r="I23" s="390">
        <f t="shared" si="7"/>
        <v>-10.547378720181172</v>
      </c>
      <c r="J23" s="390">
        <f t="shared" si="8"/>
        <v>0.54416641390599807</v>
      </c>
      <c r="K23" s="391" t="e">
        <f t="shared" si="9"/>
        <v>#REF!</v>
      </c>
      <c r="L23" s="185">
        <f>'Total Curr Schedule'!P29/1000000</f>
        <v>99.33317675613651</v>
      </c>
      <c r="M23" s="189">
        <f t="shared" si="10"/>
        <v>0</v>
      </c>
      <c r="N23" s="240">
        <f>('Misc Curr Schd w2016Loss &amp; DC'!Y29+'Safety Curr Schedule w2016Loss '!Y29)/1000000</f>
        <v>193.14060948491237</v>
      </c>
      <c r="O23" s="189">
        <f t="shared" si="10"/>
        <v>0</v>
      </c>
      <c r="P23" s="186">
        <f>'Total Alt Schedule @ 7%'!Y29/1000000</f>
        <v>176.68219828370243</v>
      </c>
      <c r="Q23" s="189">
        <f t="shared" si="5"/>
        <v>0</v>
      </c>
      <c r="R23" s="186" t="e">
        <f>'Total Alt Sched @ 6.5%'!#REF!/1000000</f>
        <v>#REF!</v>
      </c>
      <c r="S23" s="189"/>
      <c r="T23" s="190">
        <f t="shared" si="0"/>
        <v>0.88587130003833503</v>
      </c>
      <c r="U23" s="191">
        <f t="shared" si="11"/>
        <v>0.77809139513949022</v>
      </c>
      <c r="V23" s="191">
        <f t="shared" si="12"/>
        <v>0.79700126126045423</v>
      </c>
      <c r="W23" s="191"/>
      <c r="X23" s="177">
        <f>('Misc Curr Schd w2016Loss &amp; DC'!AB27+'Safety Curr ScheduleOLD'!R27)/1000000</f>
        <v>870.36106421523959</v>
      </c>
      <c r="Y23" s="175"/>
      <c r="Z23" s="106" t="s">
        <v>102</v>
      </c>
      <c r="AA23" s="170">
        <f>('Misc Alt Schedules Old Style '!E46+'Safety Alt Schedules_Old '!E46)/1000000</f>
        <v>697.96913862148085</v>
      </c>
      <c r="AB23" s="227">
        <f>('Misc Alt Schedules Old Style '!K45+'Safety Alt Schedules_Old '!K45)/1000000</f>
        <v>534.93910695709826</v>
      </c>
      <c r="AC23" s="227">
        <f>('Misc Alt Schedules Old Style '!Q45+'Safety Alt Schedules_Old '!Q45)/1000000</f>
        <v>465.37898216118276</v>
      </c>
      <c r="AD23" s="227">
        <f>('Misc Alt Schedules Old Style '!W45+'Safety Alt Schedules_Old '!W45)/1000000</f>
        <v>390.32805175515915</v>
      </c>
    </row>
    <row r="24" spans="2:30" x14ac:dyDescent="0.25">
      <c r="B24" s="183">
        <f t="shared" si="6"/>
        <v>15</v>
      </c>
      <c r="C24" s="183">
        <f t="shared" si="4"/>
        <v>2033</v>
      </c>
      <c r="D24" s="390">
        <f>'Total Curr Schedule'!R30/1000000</f>
        <v>35.785472515767097</v>
      </c>
      <c r="E24" s="390">
        <f>'Total Curr w2016 Loss'!AA30/1000000</f>
        <v>46.562686380593007</v>
      </c>
      <c r="F24" s="390">
        <f>'Total Alt Schedule @ 7%'!AA30/1000000</f>
        <v>46.088781191230524</v>
      </c>
      <c r="G24" s="390" t="e">
        <f>'Total Alt Sched @ 6.5%'!#REF!/1000000</f>
        <v>#REF!</v>
      </c>
      <c r="H24" s="390">
        <v>0</v>
      </c>
      <c r="I24" s="390">
        <f t="shared" si="7"/>
        <v>-10.77721386482591</v>
      </c>
      <c r="J24" s="390">
        <f t="shared" si="8"/>
        <v>0.47390518936248327</v>
      </c>
      <c r="K24" s="391" t="e">
        <f t="shared" si="9"/>
        <v>#REF!</v>
      </c>
      <c r="L24" s="185">
        <f>'Total Curr Schedule'!P30/1000000</f>
        <v>70.760672191277564</v>
      </c>
      <c r="M24" s="189">
        <f t="shared" si="10"/>
        <v>0</v>
      </c>
      <c r="N24" s="240">
        <f>('Misc Curr Schd w2016Loss &amp; DC'!Y30+'Safety Curr Schedule w2016Loss '!Y30)/1000000</f>
        <v>159.87101164341669</v>
      </c>
      <c r="O24" s="189">
        <f t="shared" si="10"/>
        <v>0</v>
      </c>
      <c r="P24" s="186">
        <f>'Total Alt Schedule @ 7%'!Y30/1000000</f>
        <v>143.25153476687908</v>
      </c>
      <c r="Q24" s="189">
        <f t="shared" si="5"/>
        <v>0</v>
      </c>
      <c r="R24" s="186" t="e">
        <f>'Total Alt Sched @ 6.5%'!#REF!/1000000</f>
        <v>#REF!</v>
      </c>
      <c r="S24" s="189"/>
      <c r="T24" s="190">
        <f t="shared" si="0"/>
        <v>0.92288687756130094</v>
      </c>
      <c r="U24" s="191">
        <f t="shared" si="11"/>
        <v>0.82577676958844481</v>
      </c>
      <c r="V24" s="191">
        <f t="shared" si="12"/>
        <v>0.84388823907510047</v>
      </c>
      <c r="W24" s="191"/>
      <c r="X24" s="177">
        <f>('Misc Curr Schd w2016Loss &amp; DC'!AB28+'Safety Curr ScheduleOLD'!R28)/1000000</f>
        <v>917.62167000212719</v>
      </c>
      <c r="Y24" s="175"/>
      <c r="Z24" s="106" t="s">
        <v>100</v>
      </c>
      <c r="AA24" s="170" t="s">
        <v>103</v>
      </c>
      <c r="AB24" s="227">
        <f>AA23-AB23</f>
        <v>163.03003166438259</v>
      </c>
      <c r="AC24" s="227">
        <f>AA23-AC23</f>
        <v>232.59015646029809</v>
      </c>
      <c r="AD24" s="227">
        <f>AA23-AD23</f>
        <v>307.6410868663217</v>
      </c>
    </row>
    <row r="25" spans="2:30" x14ac:dyDescent="0.25">
      <c r="B25" s="183">
        <f t="shared" si="6"/>
        <v>16</v>
      </c>
      <c r="C25" s="183">
        <f t="shared" si="4"/>
        <v>2034</v>
      </c>
      <c r="D25" s="390">
        <f>'Total Curr Schedule'!R31/1000000</f>
        <v>36.859036691240114</v>
      </c>
      <c r="E25" s="390">
        <f>'Total Curr w2016 Loss'!AA31/1000000</f>
        <v>47.869325757515689</v>
      </c>
      <c r="F25" s="390">
        <f>'Total Alt Schedule @ 7%'!AA31/1000000</f>
        <v>47.471444626967447</v>
      </c>
      <c r="G25" s="390" t="e">
        <f>'Total Alt Sched @ 6.5%'!#REF!/1000000</f>
        <v>#REF!</v>
      </c>
      <c r="H25" s="390">
        <v>0</v>
      </c>
      <c r="I25" s="390">
        <f t="shared" si="7"/>
        <v>-11.010289066275575</v>
      </c>
      <c r="J25" s="390">
        <f t="shared" si="8"/>
        <v>0.39788113054824237</v>
      </c>
      <c r="K25" s="391" t="e">
        <f t="shared" si="9"/>
        <v>#REF!</v>
      </c>
      <c r="L25" s="185">
        <f>'Total Curr Schedule'!P31/1000000</f>
        <v>38.964554999407113</v>
      </c>
      <c r="M25" s="189">
        <f t="shared" si="10"/>
        <v>0</v>
      </c>
      <c r="N25" s="240">
        <f>('Misc Curr Schd w2016Loss &amp; DC'!Y31+'Safety Curr Schedule w2016Loss '!Y31)/1000000</f>
        <v>122.86885873785317</v>
      </c>
      <c r="O25" s="189">
        <f t="shared" si="10"/>
        <v>0</v>
      </c>
      <c r="P25" s="186">
        <f>'Total Alt Schedule @ 7%'!Y31/1000000</f>
        <v>105.95404288559826</v>
      </c>
      <c r="Q25" s="189"/>
      <c r="R25" s="186" t="e">
        <f>'Total Alt Sched @ 6.5%'!#REF!/1000000</f>
        <v>#REF!</v>
      </c>
      <c r="S25" s="189"/>
      <c r="T25" s="190">
        <f t="shared" si="0"/>
        <v>0.95972441538260289</v>
      </c>
      <c r="U25" s="191">
        <f t="shared" si="11"/>
        <v>0.87299700671508451</v>
      </c>
      <c r="V25" s="191">
        <f t="shared" si="12"/>
        <v>0.89048095070355182</v>
      </c>
      <c r="W25" s="191"/>
      <c r="X25" s="177">
        <f>('Misc Curr Schd w2016Loss &amp; DC'!AB29+'Safety Curr ScheduleOLD'!R29)/1000000</f>
        <v>967.44852668324268</v>
      </c>
      <c r="Y25" s="175"/>
      <c r="Z25" s="106" t="s">
        <v>101</v>
      </c>
      <c r="AA25" s="170" t="s">
        <v>103</v>
      </c>
      <c r="AB25" s="227">
        <f>-('Misc Alt Schedules Old Style '!K51+'Safety Alt Schedules_Old '!K51)/1000000</f>
        <v>84.933668107691531</v>
      </c>
      <c r="AC25" s="227">
        <f>-('Misc Alt Schedules Old Style '!Q51+'Safety Alt Schedules_Old '!Q51)/1000000</f>
        <v>113.41375081401891</v>
      </c>
      <c r="AD25" s="227">
        <f>-('Misc Alt Schedules Old Style '!W51+'Safety Alt Schedules_Old '!W51)/1000000</f>
        <v>147.24133370657171</v>
      </c>
    </row>
    <row r="26" spans="2:30" x14ac:dyDescent="0.25">
      <c r="B26" s="183">
        <f t="shared" si="6"/>
        <v>17</v>
      </c>
      <c r="C26" s="183">
        <f t="shared" si="4"/>
        <v>2035</v>
      </c>
      <c r="D26" s="390">
        <f>'Total Curr Schedule'!R32/1000000</f>
        <v>37.964807791977329</v>
      </c>
      <c r="E26" s="390">
        <f>'Total Curr w2016 Loss'!AA32/1000000</f>
        <v>49.211375162997619</v>
      </c>
      <c r="F26" s="390">
        <f>'Total Alt Schedule @ 7%'!AA32/1000000</f>
        <v>48.895587965776485</v>
      </c>
      <c r="G26" s="390" t="e">
        <f>'Total Alt Sched @ 6.5%'!#REF!/1000000</f>
        <v>#REF!</v>
      </c>
      <c r="H26" s="390">
        <v>0</v>
      </c>
      <c r="I26" s="390">
        <f t="shared" si="7"/>
        <v>-11.246567371020291</v>
      </c>
      <c r="J26" s="390">
        <f t="shared" si="8"/>
        <v>0.31578719722113391</v>
      </c>
      <c r="K26" s="391" t="e">
        <f t="shared" si="9"/>
        <v>#REF!</v>
      </c>
      <c r="L26" s="185">
        <f>'Total Curr Schedule'!P32/1000000</f>
        <v>3.6706339899598843</v>
      </c>
      <c r="M26" s="189">
        <f t="shared" si="10"/>
        <v>0</v>
      </c>
      <c r="N26" s="240">
        <f>('Misc Curr Schd w2016Loss &amp; DC'!Y32+'Safety Curr Schedule w2016Loss '!Y32)/1000000</f>
        <v>81.830761417282076</v>
      </c>
      <c r="O26" s="189">
        <f t="shared" si="10"/>
        <v>0</v>
      </c>
      <c r="P26" s="186">
        <f>'Total Alt Schedule @ 7%'!Y32/1000000</f>
        <v>64.461789492071162</v>
      </c>
      <c r="Q26" s="189"/>
      <c r="R26" s="186" t="e">
        <f>'Total Alt Sched @ 6.5%'!#REF!/1000000</f>
        <v>#REF!</v>
      </c>
      <c r="S26" s="189"/>
      <c r="T26" s="190">
        <f t="shared" si="0"/>
        <v>0.99640127212577401</v>
      </c>
      <c r="U26" s="191">
        <f t="shared" si="11"/>
        <v>0.91977226743745011</v>
      </c>
      <c r="V26" s="191"/>
      <c r="W26" s="191"/>
      <c r="X26" s="177">
        <f>('Misc Curr Schd w2016Loss &amp; DC'!AB30+'Safety Curr ScheduleOLD'!R30)/1000000</f>
        <v>1019.9809816821428</v>
      </c>
      <c r="Y26" s="175"/>
    </row>
    <row r="27" spans="2:30" x14ac:dyDescent="0.25">
      <c r="B27" s="183">
        <f t="shared" si="6"/>
        <v>18</v>
      </c>
      <c r="C27" s="183">
        <f t="shared" si="4"/>
        <v>2036</v>
      </c>
      <c r="D27" s="390">
        <f>'Total Curr Schedule'!R33/1000000</f>
        <v>-4.698192708121578</v>
      </c>
      <c r="E27" s="390">
        <f>'Total Curr w2016 Loss'!AA33/1000000</f>
        <v>6.7497099134872789</v>
      </c>
      <c r="F27" s="390">
        <f>'Total Alt Schedule @ 7%'!AA33/1000000</f>
        <v>6.5605108708915676</v>
      </c>
      <c r="G27" s="390" t="e">
        <f>'Total Alt Sched @ 6.5%'!#REF!/1000000</f>
        <v>#REF!</v>
      </c>
      <c r="H27" s="390">
        <v>0</v>
      </c>
      <c r="I27" s="390">
        <f t="shared" si="7"/>
        <v>-11.447902621608858</v>
      </c>
      <c r="J27" s="390">
        <f t="shared" si="8"/>
        <v>0.1891990425957113</v>
      </c>
      <c r="K27" s="391" t="e">
        <f t="shared" si="9"/>
        <v>#REF!</v>
      </c>
      <c r="L27" s="185">
        <f>'Total Curr Schedule'!P33/1000000</f>
        <v>-35.416818974227986</v>
      </c>
      <c r="M27" s="189">
        <f t="shared" si="10"/>
        <v>0</v>
      </c>
      <c r="N27" s="240">
        <f>('Misc Curr Schd w2016Loss &amp; DC'!Y33+'Safety Curr Schedule w2016Loss '!Y33)/1000000</f>
        <v>36.430829761304395</v>
      </c>
      <c r="O27" s="189">
        <f t="shared" si="10"/>
        <v>0</v>
      </c>
      <c r="P27" s="186">
        <f>'Total Alt Schedule @ 7%'!Y33/1000000</f>
        <v>18.421309360440723</v>
      </c>
      <c r="Q27" s="189"/>
      <c r="R27" s="186" t="e">
        <f>'Total Alt Sched @ 6.5%'!#REF!/1000000</f>
        <v>#REF!</v>
      </c>
      <c r="S27" s="189"/>
      <c r="T27" s="190">
        <f t="shared" si="0"/>
        <v>1.0329346665733417</v>
      </c>
      <c r="U27" s="191">
        <f t="shared" si="11"/>
        <v>0.96612238857329813</v>
      </c>
      <c r="V27" s="191"/>
      <c r="W27" s="191"/>
      <c r="X27" s="177">
        <f>('Misc Curr Schd w2016Loss &amp; DC'!AB31+'Safety Curr ScheduleOLD'!R31)/1000000</f>
        <v>1075.3659489874831</v>
      </c>
      <c r="Y27" s="175"/>
    </row>
    <row r="28" spans="2:30" x14ac:dyDescent="0.25">
      <c r="B28" s="183">
        <f t="shared" si="6"/>
        <v>19</v>
      </c>
      <c r="C28" s="183">
        <f t="shared" si="4"/>
        <v>2037</v>
      </c>
      <c r="D28" s="390">
        <f>'Total Curr Schedule'!R34/1000000</f>
        <v>-4.8391384893652258</v>
      </c>
      <c r="E28" s="390">
        <f>'Total Curr w2016 Loss'!AA34/1000000</f>
        <v>5.3246498295193909</v>
      </c>
      <c r="F28" s="390">
        <f>'Total Alt Schedule @ 7%'!AA34/1000000</f>
        <v>6.7573261970183154</v>
      </c>
      <c r="G28" s="390" t="e">
        <f>'Total Alt Sched @ 6.5%'!#REF!/1000000</f>
        <v>#REF!</v>
      </c>
      <c r="H28" s="390">
        <v>0</v>
      </c>
      <c r="I28" s="390">
        <f t="shared" si="7"/>
        <v>-10.163788318884617</v>
      </c>
      <c r="J28" s="390">
        <f t="shared" si="8"/>
        <v>-1.4326763674989245</v>
      </c>
      <c r="K28" s="391" t="e">
        <f t="shared" si="9"/>
        <v>#REF!</v>
      </c>
      <c r="L28" s="185">
        <f>'Total Curr Schedule'!P34/1000000</f>
        <v>-33.201890519365342</v>
      </c>
      <c r="M28" s="189">
        <f t="shared" si="10"/>
        <v>1</v>
      </c>
      <c r="N28" s="240">
        <f>('Misc Curr Schd w2016Loss &amp; DC'!Y34+'Safety Curr Schedule w2016Loss '!Y34)/1000000</f>
        <v>30.451388735848607</v>
      </c>
      <c r="O28" s="189">
        <f t="shared" si="10"/>
        <v>0</v>
      </c>
      <c r="P28" s="186">
        <f>'Total Alt Schedule @ 7%'!Y34/1000000</f>
        <v>12.866499112638875</v>
      </c>
      <c r="Q28" s="189"/>
      <c r="R28" s="186" t="e">
        <f>'Total Alt Sched @ 6.5%'!#REF!/1000000</f>
        <v>#REF!</v>
      </c>
      <c r="S28" s="189"/>
      <c r="T28" s="190">
        <f t="shared" si="0"/>
        <v>1.0292848042948455</v>
      </c>
      <c r="U28" s="191">
        <f t="shared" si="11"/>
        <v>0.97314119932069953</v>
      </c>
      <c r="V28" s="191"/>
      <c r="W28" s="191"/>
      <c r="X28" s="177">
        <f>('Misc Curr Schd w2016Loss &amp; DC'!AB32+'Safety Curr ScheduleOLD'!R32)/1000000</f>
        <v>1133.7583200175034</v>
      </c>
      <c r="Y28" s="175"/>
    </row>
    <row r="29" spans="2:30" x14ac:dyDescent="0.25">
      <c r="B29" s="183">
        <f t="shared" si="6"/>
        <v>20</v>
      </c>
      <c r="C29" s="183">
        <f t="shared" si="4"/>
        <v>2038</v>
      </c>
      <c r="D29" s="390">
        <f>'Total Curr Schedule'!R35/1000000</f>
        <v>-4.9843126440461818</v>
      </c>
      <c r="E29" s="390">
        <f>'Total Curr w2016 Loss'!AA35/1000000</f>
        <v>3.80801140159129</v>
      </c>
      <c r="F29" s="390">
        <f>'Total Alt Schedule @ 7%'!AA35/1000000</f>
        <v>6.9600459829288592</v>
      </c>
      <c r="G29" s="390" t="e">
        <f>'Total Alt Sched @ 6.5%'!#REF!/1000000</f>
        <v>#REF!</v>
      </c>
      <c r="H29" s="390">
        <v>0</v>
      </c>
      <c r="I29" s="390">
        <f t="shared" si="7"/>
        <v>-8.7923240456374714</v>
      </c>
      <c r="J29" s="390">
        <f t="shared" si="8"/>
        <v>-3.1520345813375692</v>
      </c>
      <c r="K29" s="391" t="e">
        <f t="shared" si="9"/>
        <v>#REF!</v>
      </c>
      <c r="L29" s="185">
        <f>'Total Curr Schedule'!P35/1000000</f>
        <v>-30.674706734050094</v>
      </c>
      <c r="M29" s="189">
        <f t="shared" si="10"/>
        <v>1</v>
      </c>
      <c r="N29" s="240">
        <f>('Misc Curr Schd w2016Loss &amp; DC'!Y35+'Safety Curr Schedule w2016Loss '!Y35)/1000000</f>
        <v>24.648247004398748</v>
      </c>
      <c r="O29" s="189"/>
      <c r="P29" s="186">
        <f>'Total Alt Schedule @ 7%'!Y35/1000000</f>
        <v>6.7406318092029043</v>
      </c>
      <c r="Q29" s="189"/>
      <c r="R29" s="186" t="e">
        <f>'Total Alt Sched @ 6.5%'!#REF!/1000000</f>
        <v>#REF!</v>
      </c>
      <c r="S29" s="189"/>
      <c r="T29" s="190">
        <f t="shared" si="0"/>
        <v>1.0256623087450052</v>
      </c>
      <c r="U29" s="191">
        <f t="shared" si="11"/>
        <v>0.97937939781677197</v>
      </c>
      <c r="V29" s="191"/>
      <c r="W29" s="191"/>
      <c r="X29" s="177">
        <f>('Misc Curr Schd w2016Loss &amp; DC'!AB33+'Safety Curr ScheduleOLD'!R33)/1000000</f>
        <v>1195.3213967944537</v>
      </c>
      <c r="Y29" s="175"/>
    </row>
    <row r="30" spans="2:30" x14ac:dyDescent="0.25">
      <c r="B30" s="183">
        <f t="shared" si="6"/>
        <v>21</v>
      </c>
      <c r="C30" s="183">
        <f t="shared" si="4"/>
        <v>2039</v>
      </c>
      <c r="D30" s="390">
        <f>'Total Curr Schedule'!R36/1000000</f>
        <v>-5.1338420233675652</v>
      </c>
      <c r="E30" s="390">
        <f>'Total Curr w2016 Loss'!AA36/1000000</f>
        <v>2.1955824831409378</v>
      </c>
      <c r="F30" s="390">
        <f>'Total Alt Schedule @ 7%'!AA36/1000000</f>
        <v>0</v>
      </c>
      <c r="G30" s="390" t="e">
        <f>'Total Alt Sched @ 6.5%'!#REF!/1000000</f>
        <v>#REF!</v>
      </c>
      <c r="H30" s="390">
        <v>0</v>
      </c>
      <c r="I30" s="390">
        <f t="shared" si="7"/>
        <v>-7.3294245065085031</v>
      </c>
      <c r="J30" s="390">
        <f t="shared" si="8"/>
        <v>2.1955824831409378</v>
      </c>
      <c r="K30" s="391" t="e">
        <f t="shared" si="9"/>
        <v>#REF!</v>
      </c>
      <c r="L30" s="185">
        <f>'Total Curr Schedule'!P36/1000000</f>
        <v>-27.807464397608182</v>
      </c>
      <c r="M30" s="189">
        <f t="shared" si="10"/>
        <v>1</v>
      </c>
      <c r="N30" s="240">
        <f>('Misc Curr Schd w2016Loss &amp; DC'!Y36+'Safety Curr Schedule w2016Loss '!Y36)/1000000</f>
        <v>20.005379864066086</v>
      </c>
      <c r="O30" s="189"/>
      <c r="P30" s="186">
        <f>'Total Alt Schedule @ 7%'!Y36/1000000</f>
        <v>0</v>
      </c>
      <c r="Q30" s="189"/>
      <c r="R30" s="186" t="e">
        <f>'Total Alt Sched @ 6.5%'!#REF!/1000000</f>
        <v>#REF!</v>
      </c>
      <c r="S30" s="189"/>
      <c r="T30" s="190">
        <f t="shared" si="0"/>
        <v>1.0220654348023859</v>
      </c>
      <c r="U30" s="191"/>
      <c r="V30" s="191"/>
      <c r="W30" s="191"/>
      <c r="X30" s="177">
        <f>('Misc Curr Schd w2016Loss &amp; DC'!AB34+'Safety Curr ScheduleOLD'!R34)/1000000</f>
        <v>1260.2273486403926</v>
      </c>
      <c r="Y30" s="175"/>
    </row>
    <row r="31" spans="2:30" x14ac:dyDescent="0.25">
      <c r="B31" s="183">
        <f t="shared" si="6"/>
        <v>22</v>
      </c>
      <c r="C31" s="183">
        <f t="shared" si="4"/>
        <v>2040</v>
      </c>
      <c r="D31" s="390">
        <f>'Total Curr Schedule'!R37/1000000</f>
        <v>-5.287857284068596</v>
      </c>
      <c r="E31" s="390">
        <f>'Total Curr w2016 Loss'!AA37/1000000</f>
        <v>0.48298061932212955</v>
      </c>
      <c r="F31" s="390">
        <f>'Total Alt Schedule @ 7%'!AA37/1000000</f>
        <v>0</v>
      </c>
      <c r="G31" s="390" t="e">
        <f>'Total Alt Sched @ 6.5%'!#REF!/1000000</f>
        <v>#REF!</v>
      </c>
      <c r="H31" s="390">
        <v>0</v>
      </c>
      <c r="I31" s="390">
        <f t="shared" si="7"/>
        <v>-5.770837903390726</v>
      </c>
      <c r="J31" s="390">
        <f t="shared" si="8"/>
        <v>0.48298061932212955</v>
      </c>
      <c r="K31" s="391" t="e">
        <f t="shared" si="9"/>
        <v>#REF!</v>
      </c>
      <c r="L31" s="185">
        <f>'Total Curr Schedule'!P37/1000000</f>
        <v>-24.570143525688248</v>
      </c>
      <c r="M31" s="189">
        <f t="shared" si="10"/>
        <v>1</v>
      </c>
      <c r="N31" s="240">
        <f>('Misc Curr Schd w2016Loss &amp; DC'!Y37+'Safety Curr Schedule w2016Loss '!Y37)/1000000</f>
        <v>16.516642499801524</v>
      </c>
      <c r="O31" s="189"/>
      <c r="P31" s="186">
        <f>'Total Alt Schedule @ 7%'!Y37/1000000</f>
        <v>0</v>
      </c>
      <c r="Q31" s="189"/>
      <c r="R31" s="186" t="e">
        <f>'Total Alt Sched @ 6.5%'!#REF!/1000000</f>
        <v>#REF!</v>
      </c>
      <c r="S31" s="189"/>
      <c r="T31" s="190">
        <f t="shared" si="0"/>
        <v>1.0184924556887125</v>
      </c>
      <c r="U31" s="191"/>
      <c r="V31" s="191"/>
      <c r="W31" s="191"/>
      <c r="X31" s="177">
        <f>('Misc Curr Schd w2016Loss &amp; DC'!AB35+'Safety Curr ScheduleOLD'!R35)/1000000</f>
        <v>1328.6576936715658</v>
      </c>
      <c r="Y31" s="175"/>
    </row>
    <row r="32" spans="2:30" x14ac:dyDescent="0.25">
      <c r="B32" s="183">
        <f t="shared" si="6"/>
        <v>23</v>
      </c>
      <c r="C32" s="183">
        <f t="shared" si="4"/>
        <v>2041</v>
      </c>
      <c r="D32" s="390">
        <f>'Total Curr Schedule'!R38/1000000</f>
        <v>-5.4464930025906524</v>
      </c>
      <c r="E32" s="390">
        <f>'Total Curr w2016 Loss'!AA38/1000000</f>
        <v>0.49747003790179267</v>
      </c>
      <c r="F32" s="390">
        <f>'Total Alt Schedule @ 7%'!AA38/1000000</f>
        <v>0</v>
      </c>
      <c r="G32" s="390" t="e">
        <f>'Total Alt Sched @ 6.5%'!#REF!/1000000</f>
        <v>#REF!</v>
      </c>
      <c r="H32" s="390">
        <v>0</v>
      </c>
      <c r="I32" s="390">
        <f t="shared" si="7"/>
        <v>-5.9439630404924451</v>
      </c>
      <c r="J32" s="390">
        <f t="shared" si="8"/>
        <v>0.49747003790179267</v>
      </c>
      <c r="K32" s="391" t="e">
        <f t="shared" si="9"/>
        <v>#REF!</v>
      </c>
      <c r="L32" s="185">
        <f>'Total Curr Schedule'!P38/1000000</f>
        <v>-20.930337167322104</v>
      </c>
      <c r="M32" s="189">
        <f t="shared" si="10"/>
        <v>1</v>
      </c>
      <c r="N32" s="240">
        <f>('Misc Curr Schd w2016Loss &amp; DC'!Y38+'Safety Curr Schedule w2016Loss '!Y38)/1000000</f>
        <v>14.94729250750396</v>
      </c>
      <c r="O32" s="189"/>
      <c r="P32" s="186">
        <f>'Total Alt Schedule @ 7%'!Y38/1000000</f>
        <v>0</v>
      </c>
      <c r="Q32" s="189"/>
      <c r="R32" s="186" t="e">
        <f>'Total Alt Sched @ 6.5%'!#REF!/1000000</f>
        <v>#REF!</v>
      </c>
      <c r="S32" s="189"/>
      <c r="T32" s="190">
        <f t="shared" si="0"/>
        <v>1.0149416621165139</v>
      </c>
      <c r="U32" s="191"/>
      <c r="V32" s="191"/>
      <c r="W32" s="191"/>
      <c r="X32" s="177">
        <f>('Misc Curr Schd w2016Loss &amp; DC'!AB36+'Safety Curr ScheduleOLD'!R36)/1000000</f>
        <v>1400.8038064379318</v>
      </c>
      <c r="Y32" s="175"/>
    </row>
    <row r="33" spans="2:25" x14ac:dyDescent="0.25">
      <c r="B33" s="183">
        <f t="shared" si="6"/>
        <v>24</v>
      </c>
      <c r="C33" s="183">
        <f t="shared" si="4"/>
        <v>2042</v>
      </c>
      <c r="D33" s="390">
        <f>'Total Curr Schedule'!R39/1000000</f>
        <v>-5.6098877926683706</v>
      </c>
      <c r="E33" s="390">
        <f>'Total Curr w2016 Loss'!AA39/1000000</f>
        <v>0.51239413903884867</v>
      </c>
      <c r="F33" s="390">
        <f>'Total Alt Schedule @ 7%'!AA39/1000000</f>
        <v>0</v>
      </c>
      <c r="G33" s="390" t="e">
        <f>'Total Alt Sched @ 6.5%'!#REF!/1000000</f>
        <v>#REF!</v>
      </c>
      <c r="H33" s="390">
        <v>0</v>
      </c>
      <c r="I33" s="390">
        <f t="shared" si="7"/>
        <v>-6.122281931707219</v>
      </c>
      <c r="J33" s="390">
        <f t="shared" si="8"/>
        <v>0.51239413903884867</v>
      </c>
      <c r="K33" s="391" t="e">
        <f t="shared" si="9"/>
        <v>#REF!</v>
      </c>
      <c r="L33" s="185">
        <f>'Total Curr Schedule'!P39/1000000</f>
        <v>-16.853068318394715</v>
      </c>
      <c r="M33" s="189">
        <f t="shared" si="10"/>
        <v>1</v>
      </c>
      <c r="N33" s="240">
        <f>('Misc Curr Schd w2016Loss &amp; DC'!Y39+'Safety Curr Schedule w2016Loss '!Y39)/1000000</f>
        <v>14.464674546735369</v>
      </c>
      <c r="O33" s="189"/>
      <c r="P33" s="186">
        <f>'Total Alt Schedule @ 7%'!Y39/1000000</f>
        <v>0</v>
      </c>
      <c r="Q33" s="189"/>
      <c r="R33" s="186" t="e">
        <f>'Total Alt Sched @ 6.5%'!#REF!/1000000</f>
        <v>#REF!</v>
      </c>
      <c r="S33" s="189"/>
      <c r="T33" s="190">
        <f t="shared" si="0"/>
        <v>1.0114113614479794</v>
      </c>
      <c r="U33" s="191"/>
      <c r="V33" s="191"/>
      <c r="W33" s="191"/>
      <c r="X33" s="177">
        <f>('Misc Curr Schd w2016Loss &amp; DC'!AB37+'Safety Curr ScheduleOLD'!R37)/1000000</f>
        <v>1476.8674531275115</v>
      </c>
      <c r="Y33" s="175"/>
    </row>
    <row r="34" spans="2:25" x14ac:dyDescent="0.25">
      <c r="B34" s="183">
        <f t="shared" si="6"/>
        <v>25</v>
      </c>
      <c r="C34" s="183">
        <f t="shared" si="4"/>
        <v>2043</v>
      </c>
      <c r="D34" s="390">
        <f>'Total Curr Schedule'!R40/1000000</f>
        <v>-5.7781844264484219</v>
      </c>
      <c r="E34" s="390">
        <f>'Total Curr w2016 Loss'!AA40/1000000</f>
        <v>0.52776596321001368</v>
      </c>
      <c r="F34" s="390">
        <f>'Total Alt Schedule @ 7%'!AA40/1000000</f>
        <v>0</v>
      </c>
      <c r="G34" s="390" t="e">
        <f>'Total Alt Sched @ 6.5%'!#REF!/1000000</f>
        <v>#REF!</v>
      </c>
      <c r="H34" s="390">
        <v>0</v>
      </c>
      <c r="I34" s="390">
        <f t="shared" si="7"/>
        <v>-6.3059503896584355</v>
      </c>
      <c r="J34" s="390">
        <f t="shared" si="8"/>
        <v>0.52776596321001368</v>
      </c>
      <c r="K34" s="391" t="e">
        <f t="shared" si="9"/>
        <v>#REF!</v>
      </c>
      <c r="L34" s="185">
        <f>'Total Curr Schedule'!P40/1000000</f>
        <v>-12.300592981703479</v>
      </c>
      <c r="M34" s="189">
        <f t="shared" si="10"/>
        <v>1</v>
      </c>
      <c r="N34" s="240">
        <f>('Misc Curr Schd w2016Loss &amp; DC'!Y40+'Safety Curr Schedule w2016Loss '!Y40)/1000000</f>
        <v>14.947177146256115</v>
      </c>
      <c r="O34" s="189"/>
      <c r="P34" s="186">
        <f>'Total Alt Schedule @ 7%'!Y40/1000000</f>
        <v>0</v>
      </c>
      <c r="Q34" s="189"/>
      <c r="R34" s="186" t="e">
        <f>'Total Alt Sched @ 6.5%'!#REF!/1000000</f>
        <v>#REF!</v>
      </c>
      <c r="S34" s="189"/>
      <c r="T34" s="190">
        <f t="shared" si="0"/>
        <v>1.0078998768646006</v>
      </c>
      <c r="U34" s="191"/>
      <c r="V34" s="191"/>
      <c r="W34" s="191"/>
      <c r="X34" s="177">
        <f>('Misc Curr Schd w2016Loss &amp; DC'!AB38+'Safety Curr ScheduleOLD'!R38)/1000000</f>
        <v>1557.0613558323355</v>
      </c>
      <c r="Y34" s="175"/>
    </row>
    <row r="35" spans="2:25" x14ac:dyDescent="0.25">
      <c r="B35" s="183">
        <f t="shared" si="6"/>
        <v>26</v>
      </c>
      <c r="C35" s="183">
        <f t="shared" si="4"/>
        <v>2044</v>
      </c>
      <c r="D35" s="390">
        <f>'Total Curr Schedule'!R41/1000000</f>
        <v>-3.9095125746803694</v>
      </c>
      <c r="E35" s="390">
        <f>'Total Curr w2016 Loss'!AA41/1000000</f>
        <v>2.468348995900592</v>
      </c>
      <c r="F35" s="390">
        <f>'Total Alt Schedule @ 7%'!AA41/1000000</f>
        <v>0</v>
      </c>
      <c r="G35" s="390" t="e">
        <f>'Total Alt Sched @ 6.5%'!#REF!/1000000</f>
        <v>#REF!</v>
      </c>
      <c r="H35" s="390">
        <v>0</v>
      </c>
      <c r="I35" s="390">
        <f t="shared" si="7"/>
        <v>-6.3778615705809614</v>
      </c>
      <c r="J35" s="390">
        <f t="shared" si="8"/>
        <v>2.468348995900592</v>
      </c>
      <c r="K35" s="391" t="e">
        <f t="shared" si="9"/>
        <v>#REF!</v>
      </c>
      <c r="L35" s="185">
        <f>'Total Curr Schedule'!P41/1000000</f>
        <v>-7.2321883309432788</v>
      </c>
      <c r="M35" s="189">
        <f t="shared" si="10"/>
        <v>1</v>
      </c>
      <c r="N35" s="240">
        <f>('Misc Curr Schd w2016Loss &amp; DC'!Y41+'Safety Curr Schedule w2016Loss '!Y41)/1000000</f>
        <v>15.447554189180792</v>
      </c>
      <c r="O35" s="189"/>
      <c r="P35" s="186">
        <f>'Total Alt Schedule @ 7%'!Y41/1000000</f>
        <v>0</v>
      </c>
      <c r="Q35" s="189"/>
      <c r="R35" s="186" t="e">
        <f>'Total Alt Sched @ 6.5%'!#REF!/1000000</f>
        <v>#REF!</v>
      </c>
      <c r="S35" s="189"/>
      <c r="T35" s="190">
        <f t="shared" si="0"/>
        <v>1.0044055465471851</v>
      </c>
      <c r="U35" s="191"/>
      <c r="V35" s="191"/>
      <c r="W35" s="191"/>
      <c r="X35" s="177">
        <f>('Misc Curr Schd w2016Loss &amp; DC'!AB39+'Safety Curr ScheduleOLD'!R39)/1000000</f>
        <v>1641.6097874540312</v>
      </c>
      <c r="Y35" s="175"/>
    </row>
    <row r="36" spans="2:25" x14ac:dyDescent="0.25">
      <c r="B36" s="183">
        <f t="shared" si="6"/>
        <v>27</v>
      </c>
      <c r="C36" s="183">
        <f t="shared" si="4"/>
        <v>2045</v>
      </c>
      <c r="D36" s="390">
        <f>'Total Curr Schedule'!R42/1000000</f>
        <v>-2.8007827803169509</v>
      </c>
      <c r="E36" s="390">
        <f>'Total Curr w2016 Loss'!AA42/1000000</f>
        <v>3.6980080249103207</v>
      </c>
      <c r="F36" s="390">
        <f>'Total Alt Schedule @ 7%'!AA42/1000000</f>
        <v>0</v>
      </c>
      <c r="G36" s="390" t="e">
        <f>'Total Alt Sched @ 6.5%'!#REF!/1000000</f>
        <v>#REF!</v>
      </c>
      <c r="H36" s="390">
        <v>0</v>
      </c>
      <c r="I36" s="390">
        <f t="shared" si="7"/>
        <v>-6.4987908052272712</v>
      </c>
      <c r="J36" s="390">
        <f t="shared" si="8"/>
        <v>3.6980080249103207</v>
      </c>
      <c r="K36" s="391" t="e">
        <f t="shared" si="9"/>
        <v>#REF!</v>
      </c>
      <c r="L36" s="185">
        <f>'Total Curr Schedule'!P42/1000000</f>
        <v>-3.7211335445161891</v>
      </c>
      <c r="M36" s="189">
        <f t="shared" si="10"/>
        <v>1</v>
      </c>
      <c r="N36" s="240">
        <f>('Misc Curr Schd w2016Loss &amp; DC'!Y42+'Safety Curr Schedule w2016Loss '!Y42)/1000000</f>
        <v>13.975602927444577</v>
      </c>
      <c r="O36" s="189"/>
      <c r="P36" s="186">
        <f>'Total Alt Schedule @ 7%'!Y42/1000000</f>
        <v>0</v>
      </c>
      <c r="Q36" s="189"/>
      <c r="R36" s="186" t="e">
        <f>'Total Alt Sched @ 6.5%'!#REF!/1000000</f>
        <v>#REF!</v>
      </c>
      <c r="S36" s="189"/>
      <c r="T36" s="190">
        <f t="shared" si="0"/>
        <v>1.0021500131543344</v>
      </c>
      <c r="U36" s="191"/>
      <c r="V36" s="191"/>
      <c r="W36" s="191"/>
      <c r="X36" s="177">
        <f>('Misc Curr Schd w2016Loss &amp; DC'!AB40+'Safety Curr ScheduleOLD'!R40)/1000000</f>
        <v>1730.749198912785</v>
      </c>
      <c r="Y36" s="175"/>
    </row>
    <row r="37" spans="2:25" x14ac:dyDescent="0.25">
      <c r="B37" s="183">
        <f t="shared" si="6"/>
        <v>28</v>
      </c>
      <c r="C37" s="183">
        <f t="shared" si="4"/>
        <v>2046</v>
      </c>
      <c r="D37" s="390">
        <f>'Total Curr Schedule'!R43/1000000</f>
        <v>-1.6220106369745204</v>
      </c>
      <c r="E37" s="390">
        <f>'Total Curr w2016 Loss'!AA43/1000000</f>
        <v>3.6936074421215128</v>
      </c>
      <c r="F37" s="390">
        <f>'Total Alt Schedule @ 7%'!AA43/1000000</f>
        <v>0</v>
      </c>
      <c r="G37" s="390" t="e">
        <f>'Total Alt Sched @ 6.5%'!#REF!/1000000</f>
        <v>#REF!</v>
      </c>
      <c r="H37" s="390">
        <v>0</v>
      </c>
      <c r="I37" s="390">
        <f t="shared" si="7"/>
        <v>-5.3156180790960335</v>
      </c>
      <c r="J37" s="390">
        <f t="shared" si="8"/>
        <v>3.6936074421215128</v>
      </c>
      <c r="K37" s="391" t="e">
        <f t="shared" si="9"/>
        <v>#REF!</v>
      </c>
      <c r="L37" s="185">
        <f>'Total Curr Schedule'!P43/1000000</f>
        <v>-1.0963051669822717</v>
      </c>
      <c r="M37" s="189">
        <f t="shared" si="10"/>
        <v>1</v>
      </c>
      <c r="N37" s="240">
        <f>('Misc Curr Schd w2016Loss &amp; DC'!Y43+'Safety Curr Schedule w2016Loss '!Y43)/1000000</f>
        <v>11.128645887288693</v>
      </c>
      <c r="O37" s="189"/>
      <c r="P37" s="186">
        <f>'Total Alt Schedule @ 7%'!Y43/1000000</f>
        <v>0</v>
      </c>
      <c r="Q37" s="189"/>
      <c r="R37" s="186" t="e">
        <f>'Total Alt Sched @ 6.5%'!#REF!/1000000</f>
        <v>#REF!</v>
      </c>
      <c r="S37" s="189"/>
      <c r="T37" s="190">
        <f t="shared" si="0"/>
        <v>1.0006008044146995</v>
      </c>
      <c r="U37" s="191"/>
      <c r="V37" s="191"/>
      <c r="W37" s="191"/>
      <c r="X37" s="177">
        <f>('Misc Curr Schd w2016Loss &amp; DC'!AB41+'Safety Curr ScheduleOLD'!R41)/1000000</f>
        <v>1824.7288804137493</v>
      </c>
      <c r="Y37" s="175"/>
    </row>
    <row r="38" spans="2:25" x14ac:dyDescent="0.25">
      <c r="B38" s="183">
        <f t="shared" si="6"/>
        <v>29</v>
      </c>
      <c r="C38" s="183">
        <f t="shared" si="4"/>
        <v>2047</v>
      </c>
      <c r="D38" s="390">
        <f>'Total Curr Schedule'!R44/1000000</f>
        <v>-0.36999146052925519</v>
      </c>
      <c r="E38" s="390">
        <f>'Total Curr w2016 Loss'!AA44/1000000</f>
        <v>3.6856146171429556</v>
      </c>
      <c r="F38" s="390">
        <f>'Total Alt Schedule @ 7%'!AA44/1000000</f>
        <v>0</v>
      </c>
      <c r="G38" s="390" t="e">
        <f>'Total Alt Sched @ 6.5%'!#REF!/1000000</f>
        <v>#REF!</v>
      </c>
      <c r="H38" s="390">
        <v>0</v>
      </c>
      <c r="I38" s="390">
        <f t="shared" si="7"/>
        <v>-4.0556060776722109</v>
      </c>
      <c r="J38" s="390">
        <f t="shared" si="8"/>
        <v>3.6856146171429556</v>
      </c>
      <c r="K38" s="391" t="e">
        <f t="shared" si="9"/>
        <v>#REF!</v>
      </c>
      <c r="L38" s="185">
        <f>'Total Curr Schedule'!P44/1000000</f>
        <v>0.50320836789885259</v>
      </c>
      <c r="M38" s="189">
        <f t="shared" si="10"/>
        <v>1</v>
      </c>
      <c r="N38" s="240">
        <f>('Misc Curr Schd w2016Loss &amp; DC'!Y44+'Safety Curr Schedule w2016Loss '!Y44)/1000000</f>
        <v>8.086953852553755</v>
      </c>
      <c r="O38" s="189"/>
      <c r="P38" s="186">
        <f>'Total Alt Schedule @ 7%'!Y44/1000000</f>
        <v>0</v>
      </c>
      <c r="Q38" s="189"/>
      <c r="R38" s="186" t="e">
        <f>'Total Alt Sched @ 6.5%'!#REF!/1000000</f>
        <v>#REF!</v>
      </c>
      <c r="S38" s="189"/>
      <c r="T38" s="190">
        <f>($X38-L38)/$X38</f>
        <v>0.99973843158417086</v>
      </c>
      <c r="U38" s="191"/>
      <c r="V38" s="191"/>
      <c r="W38" s="191"/>
      <c r="X38" s="177">
        <f>('Misc Curr Schd w2016Loss &amp; DC'!AB42+'Safety Curr ScheduleOLD'!R42)/1000000</f>
        <v>1923.8116586202159</v>
      </c>
      <c r="Y38" s="175"/>
    </row>
    <row r="39" spans="2:25" x14ac:dyDescent="0.25">
      <c r="B39" s="183">
        <f t="shared" si="6"/>
        <v>30</v>
      </c>
      <c r="C39" s="183">
        <f t="shared" si="4"/>
        <v>2048</v>
      </c>
      <c r="D39" s="390">
        <f>'Total Curr Schedule'!R45/1000000</f>
        <v>0.95860867607600098</v>
      </c>
      <c r="E39" s="390">
        <f>'Total Curr w2016 Loss'!AA45/1000000</f>
        <v>3.6738179759677778</v>
      </c>
      <c r="F39" s="390" t="e">
        <f>('Misc Alt Schedule @ 7%'!AA45+#REF!)/1000000</f>
        <v>#REF!</v>
      </c>
      <c r="G39" s="390">
        <f>('Misc Alt Schedules Old Style '!W42+'Safety Alt Schedules_Old '!W42)/1000000</f>
        <v>0</v>
      </c>
      <c r="H39" s="390">
        <v>0</v>
      </c>
      <c r="I39" s="390">
        <f t="shared" si="7"/>
        <v>-2.715209299891777</v>
      </c>
      <c r="J39" s="390" t="e">
        <f t="shared" si="8"/>
        <v>#REF!</v>
      </c>
      <c r="K39" s="391">
        <f t="shared" si="9"/>
        <v>3.6738179759677778</v>
      </c>
      <c r="L39" s="185">
        <f>'Total Curr Schedule'!P45/1000000</f>
        <v>0.92456430661583111</v>
      </c>
      <c r="M39" s="189">
        <f t="shared" si="10"/>
        <v>1</v>
      </c>
      <c r="N39" s="240">
        <f>('Misc Curr Schd w2016Loss &amp; DC'!Y45+'Safety Curr Schedule w2016Loss '!Y45)/1000000</f>
        <v>4.8406112178338745</v>
      </c>
      <c r="O39" s="189"/>
      <c r="P39" s="186">
        <f>'Total Alt Schedule @ 7%'!G45/1000000</f>
        <v>0</v>
      </c>
      <c r="Q39" s="189"/>
      <c r="R39" s="189">
        <f>'Misc Alt Schedules Old Style '!U42+'Safety Alt Schedules_Old '!U42</f>
        <v>0</v>
      </c>
      <c r="S39" s="189"/>
      <c r="T39" s="190">
        <f>($X39-L39)/$X39</f>
        <v>0.99954416217006647</v>
      </c>
      <c r="U39" s="191"/>
      <c r="V39" s="191"/>
      <c r="W39" s="191"/>
      <c r="X39" s="177">
        <f>('Misc Curr Schd w2016Loss &amp; DC'!AB43+'Safety Curr ScheduleOLD'!R43)/1000000</f>
        <v>2028.2746316832936</v>
      </c>
      <c r="Y39" s="175"/>
    </row>
    <row r="40" spans="2:25" ht="25.5" hidden="1" customHeight="1" x14ac:dyDescent="0.25">
      <c r="B40" s="241"/>
      <c r="C40" s="241"/>
      <c r="D40" s="392">
        <v>0</v>
      </c>
      <c r="E40" s="393"/>
      <c r="F40" s="393"/>
      <c r="G40" s="21"/>
      <c r="H40" s="52"/>
      <c r="I40" s="52">
        <v>0</v>
      </c>
      <c r="J40" s="21">
        <v>0</v>
      </c>
      <c r="L40" s="150">
        <f>('Misc Alt Schedules Old Style '!C43+'Safety Alt Schedules_Old '!C43)/1000000</f>
        <v>0</v>
      </c>
      <c r="M40" s="138"/>
      <c r="N40" s="152">
        <f>'Misc Alt Schedules Old Style '!I43+'Safety Alt Schedules_Old '!I43</f>
        <v>0</v>
      </c>
      <c r="O40" s="152"/>
      <c r="P40" s="138">
        <f>'Misc Alt Schedules Old Style '!O43+'Safety Alt Schedules_Old '!O43</f>
        <v>0</v>
      </c>
      <c r="Q40" s="138"/>
      <c r="R40" s="138">
        <f>'Misc Alt Schedules Old Style '!U43+'Safety Alt Schedules_Old '!U43</f>
        <v>0</v>
      </c>
      <c r="S40" s="138"/>
      <c r="T40" s="182"/>
      <c r="U40" s="181"/>
      <c r="V40" s="178"/>
      <c r="W40" s="180"/>
      <c r="X40" s="179">
        <f>('Misc Curr Schd w2016Loss &amp; DC'!AB44+'Safety Curr ScheduleOLD'!R44)/1000000</f>
        <v>2138.4099441836966</v>
      </c>
      <c r="Y40" s="175"/>
    </row>
    <row r="41" spans="2:25" s="49" customFormat="1" x14ac:dyDescent="0.25">
      <c r="B41" s="333"/>
      <c r="C41" s="323" t="s">
        <v>55</v>
      </c>
      <c r="D41" s="331">
        <f>SUM(D10:D40)</f>
        <v>467.10092200605703</v>
      </c>
      <c r="E41" s="331">
        <f>SUM(E10:E40)</f>
        <v>691.12734912697351</v>
      </c>
      <c r="F41" s="331" t="e">
        <f>SUM(F10:F40)</f>
        <v>#REF!</v>
      </c>
      <c r="G41" s="332" t="e">
        <f>SUM(G10:G40)</f>
        <v>#REF!</v>
      </c>
      <c r="H41" s="335">
        <f>SUM(H10:H40)</f>
        <v>0</v>
      </c>
      <c r="I41" s="331">
        <f>SUM(I10:I39)</f>
        <v>-224.02642712091651</v>
      </c>
      <c r="J41" s="332" t="e">
        <f>SUM(J10:J40)</f>
        <v>#REF!</v>
      </c>
      <c r="K41" s="332" t="e">
        <f>SUM(K10:K40)</f>
        <v>#REF!</v>
      </c>
      <c r="L41" s="121"/>
      <c r="M41" s="121"/>
      <c r="N41" s="151"/>
      <c r="O41" s="151"/>
      <c r="P41" s="121"/>
      <c r="Q41" s="121"/>
      <c r="R41" s="121"/>
      <c r="S41" s="121"/>
      <c r="T41" s="121"/>
      <c r="U41" s="121"/>
      <c r="V41" s="121"/>
      <c r="W41" s="121"/>
      <c r="X41" s="121"/>
      <c r="Y41" s="121"/>
    </row>
    <row r="42" spans="2:25" s="49" customFormat="1" x14ac:dyDescent="0.25">
      <c r="B42" s="336"/>
      <c r="C42" s="337" t="str">
        <f>"NPV@3 %"</f>
        <v>NPV@3 %</v>
      </c>
      <c r="D42" s="242">
        <f t="shared" ref="D42:I42" si="13">NPV(0.03,D10:D40)</f>
        <v>366.58829745111785</v>
      </c>
      <c r="E42" s="242">
        <f>NPV(0.03,E10:E40)</f>
        <v>511.47656657492183</v>
      </c>
      <c r="F42" s="242" t="e">
        <f t="shared" si="13"/>
        <v>#REF!</v>
      </c>
      <c r="G42" s="243" t="e">
        <f t="shared" si="13"/>
        <v>#REF!</v>
      </c>
      <c r="H42" s="334">
        <f t="shared" si="13"/>
        <v>0</v>
      </c>
      <c r="I42" s="242">
        <f t="shared" si="13"/>
        <v>-144.88826912380409</v>
      </c>
      <c r="J42" s="243" t="e">
        <f>NPV(0.03,J10:J40)</f>
        <v>#REF!</v>
      </c>
      <c r="K42" s="243" t="e">
        <f>NPV(0.03,K10:K40)</f>
        <v>#REF!</v>
      </c>
      <c r="L42" s="121"/>
      <c r="M42" s="121"/>
      <c r="N42" s="151"/>
      <c r="O42" s="151"/>
      <c r="P42" s="121"/>
      <c r="Q42" s="121"/>
      <c r="R42" s="121"/>
      <c r="S42" s="121"/>
      <c r="T42" s="121"/>
      <c r="U42" s="121"/>
      <c r="V42" s="121"/>
      <c r="W42" s="121"/>
      <c r="X42" s="121"/>
      <c r="Y42" s="121"/>
    </row>
    <row r="43" spans="2:25" s="49" customFormat="1" x14ac:dyDescent="0.25">
      <c r="C43" s="377" t="s">
        <v>194</v>
      </c>
      <c r="D43" s="389">
        <f>D41/L10</f>
        <v>1.7102586352610345</v>
      </c>
      <c r="E43" s="389">
        <f>E41/N10</f>
        <v>2.026106130748702</v>
      </c>
      <c r="F43" s="389" t="e">
        <f>F41/P10</f>
        <v>#REF!</v>
      </c>
      <c r="G43" s="389" t="e">
        <f>G41/R10</f>
        <v>#REF!</v>
      </c>
      <c r="H43" s="52"/>
      <c r="I43" s="52"/>
      <c r="J43" s="52"/>
      <c r="K43" s="52"/>
      <c r="L43" s="121"/>
      <c r="M43" s="121"/>
      <c r="N43" s="151"/>
      <c r="O43" s="151"/>
      <c r="P43" s="121"/>
      <c r="Q43" s="121"/>
      <c r="R43" s="121"/>
      <c r="S43" s="121"/>
      <c r="T43" s="121"/>
      <c r="U43" s="121"/>
      <c r="V43" s="121"/>
      <c r="W43" s="121"/>
      <c r="X43" s="121"/>
      <c r="Y43" s="121"/>
    </row>
    <row r="44" spans="2:25" s="49" customFormat="1" x14ac:dyDescent="0.25">
      <c r="C44" s="377" t="s">
        <v>196</v>
      </c>
      <c r="D44" s="389">
        <f>D43-1</f>
        <v>0.7102586352610345</v>
      </c>
      <c r="E44" s="389">
        <f t="shared" ref="E44:G44" si="14">E43-1</f>
        <v>1.026106130748702</v>
      </c>
      <c r="F44" s="389" t="e">
        <f t="shared" si="14"/>
        <v>#REF!</v>
      </c>
      <c r="G44" s="389" t="e">
        <f t="shared" si="14"/>
        <v>#REF!</v>
      </c>
      <c r="H44" s="52"/>
      <c r="I44" s="52"/>
      <c r="J44" s="52"/>
      <c r="K44" s="52"/>
      <c r="L44" s="121"/>
      <c r="M44" s="121"/>
      <c r="N44" s="151"/>
      <c r="O44" s="151"/>
      <c r="P44" s="121"/>
      <c r="Q44" s="121"/>
      <c r="R44" s="121"/>
      <c r="S44" s="121"/>
      <c r="T44" s="121"/>
      <c r="U44" s="121"/>
      <c r="V44" s="121"/>
      <c r="W44" s="121"/>
      <c r="X44" s="121"/>
      <c r="Y44" s="121"/>
    </row>
    <row r="45" spans="2:25" s="49" customFormat="1" ht="15.75" thickBot="1" x14ac:dyDescent="0.3">
      <c r="C45" s="377" t="s">
        <v>195</v>
      </c>
      <c r="D45" s="389">
        <f>(D41-L10)/D41</f>
        <v>0.41529311451342488</v>
      </c>
      <c r="E45" s="389">
        <f>(E41-N10)/E41</f>
        <v>0.50644243910832432</v>
      </c>
      <c r="F45" s="389" t="e">
        <f>(F41-P10)/F41</f>
        <v>#REF!</v>
      </c>
      <c r="G45" s="389" t="e">
        <f>(G41-R10)/G41</f>
        <v>#REF!</v>
      </c>
      <c r="H45" s="52"/>
      <c r="I45" s="388"/>
      <c r="J45" s="388"/>
      <c r="K45" s="388"/>
      <c r="L45" s="121"/>
      <c r="M45" s="121"/>
      <c r="N45" s="151"/>
      <c r="O45" s="151"/>
      <c r="P45" s="121"/>
      <c r="Q45" s="121"/>
      <c r="R45" s="121"/>
      <c r="S45" s="121"/>
      <c r="T45" s="121"/>
      <c r="U45" s="121"/>
      <c r="V45" s="121"/>
      <c r="W45" s="121"/>
      <c r="X45" s="121"/>
      <c r="Y45" s="121"/>
    </row>
    <row r="46" spans="2:25" s="49" customFormat="1" x14ac:dyDescent="0.25">
      <c r="B46" s="231"/>
      <c r="C46" s="52"/>
      <c r="D46" s="52"/>
      <c r="E46" s="52"/>
      <c r="F46" s="52"/>
      <c r="G46" s="52"/>
      <c r="H46" s="232"/>
      <c r="I46" s="232"/>
      <c r="J46" s="232"/>
      <c r="K46" s="232"/>
      <c r="L46" s="233"/>
      <c r="M46" s="121"/>
      <c r="N46" s="151"/>
      <c r="O46" s="151"/>
      <c r="P46" s="121"/>
      <c r="Q46" s="121"/>
      <c r="R46" s="121"/>
      <c r="S46" s="121"/>
      <c r="T46" s="121"/>
      <c r="U46" s="121"/>
      <c r="V46" s="121"/>
      <c r="W46" s="121"/>
      <c r="X46" s="121"/>
      <c r="Y46" s="121"/>
    </row>
    <row r="47" spans="2:25" s="49" customFormat="1" ht="18.75" x14ac:dyDescent="0.3">
      <c r="B47" s="234"/>
      <c r="C47" s="52"/>
      <c r="D47" s="548" t="s">
        <v>109</v>
      </c>
      <c r="E47" s="549"/>
      <c r="F47" s="549"/>
      <c r="G47" s="550"/>
      <c r="H47" s="548" t="s">
        <v>138</v>
      </c>
      <c r="I47" s="549"/>
      <c r="J47" s="549"/>
      <c r="K47" s="550"/>
      <c r="L47" s="235"/>
      <c r="M47" s="151"/>
      <c r="N47" s="151"/>
      <c r="O47" s="151"/>
      <c r="P47" s="121"/>
      <c r="Q47" s="121"/>
      <c r="R47" s="121"/>
      <c r="S47" s="121"/>
      <c r="T47" s="121"/>
      <c r="U47" s="121"/>
      <c r="V47" s="121"/>
      <c r="W47" s="121"/>
      <c r="X47" s="121"/>
      <c r="Y47" s="121"/>
    </row>
    <row r="48" spans="2:25" x14ac:dyDescent="0.25">
      <c r="B48" s="234"/>
      <c r="C48" s="52" t="s">
        <v>98</v>
      </c>
      <c r="D48" s="220" t="s">
        <v>93</v>
      </c>
      <c r="E48" s="220" t="str">
        <f>E9</f>
        <v>+2016</v>
      </c>
      <c r="F48" s="220" t="str">
        <f>F9</f>
        <v>Alt 1</v>
      </c>
      <c r="G48" s="220" t="str">
        <f>G9</f>
        <v>Level</v>
      </c>
      <c r="H48" s="220" t="s">
        <v>93</v>
      </c>
      <c r="I48" s="220" t="str">
        <f>E48</f>
        <v>+2016</v>
      </c>
      <c r="J48" s="377" t="str">
        <f t="shared" ref="J48:K48" si="15">F48</f>
        <v>Alt 1</v>
      </c>
      <c r="K48" s="377" t="str">
        <f t="shared" si="15"/>
        <v>Level</v>
      </c>
      <c r="L48" s="236"/>
      <c r="M48" s="52"/>
    </row>
    <row r="49" spans="2:13" x14ac:dyDescent="0.25">
      <c r="B49" s="234"/>
      <c r="C49" s="230" t="str">
        <f>"Yrs 1-5"</f>
        <v>Yrs 1-5</v>
      </c>
      <c r="D49" s="184">
        <f>SUM(D10:D14)</f>
        <v>127.38361532550059</v>
      </c>
      <c r="E49" s="184">
        <f>SUM(E10:E14)</f>
        <v>144.48673939009041</v>
      </c>
      <c r="F49" s="184">
        <f>SUM(F10:F14)</f>
        <v>161.76997280941796</v>
      </c>
      <c r="G49" s="184" t="e">
        <f>SUM(G10:G14)</f>
        <v>#REF!</v>
      </c>
      <c r="H49" s="184">
        <v>0</v>
      </c>
      <c r="I49" s="184">
        <f>SUM(I10:I14)</f>
        <v>-17.103124064589831</v>
      </c>
      <c r="J49" s="184">
        <f>SUM(J10:J14)</f>
        <v>-17.283233419327551</v>
      </c>
      <c r="K49" s="184" t="e">
        <f>SUM(K10:K14)</f>
        <v>#REF!</v>
      </c>
      <c r="L49" s="235"/>
      <c r="M49" s="151"/>
    </row>
    <row r="50" spans="2:13" x14ac:dyDescent="0.25">
      <c r="B50" s="234"/>
      <c r="C50" s="52" t="str">
        <f>"Yrs 6-10"</f>
        <v>Yrs 6-10</v>
      </c>
      <c r="D50" s="184">
        <f>SUM(D15:D19)</f>
        <v>145.61146409650132</v>
      </c>
      <c r="E50" s="184">
        <f>SUM(E15:E19)</f>
        <v>191.81778048770823</v>
      </c>
      <c r="F50" s="184">
        <f>SUM(F15:F19)</f>
        <v>187.53573547817419</v>
      </c>
      <c r="G50" s="184" t="e">
        <f>SUM(G15:G19)</f>
        <v>#REF!</v>
      </c>
      <c r="H50" s="184">
        <v>0</v>
      </c>
      <c r="I50" s="184">
        <f>SUM(I15:I19)</f>
        <v>-46.206316391206926</v>
      </c>
      <c r="J50" s="184">
        <f>SUM(J15:J19)</f>
        <v>4.2820450095340377</v>
      </c>
      <c r="K50" s="184" t="e">
        <f t="shared" ref="K50" si="16">SUM(K15:K19)</f>
        <v>#REF!</v>
      </c>
      <c r="L50" s="235"/>
      <c r="M50" s="151"/>
    </row>
    <row r="51" spans="2:13" x14ac:dyDescent="0.25">
      <c r="B51" s="234"/>
      <c r="C51" s="52" t="str">
        <f>"Yrs 11-15"</f>
        <v>Yrs 11-15</v>
      </c>
      <c r="D51" s="184">
        <f>SUM(D20:D24)</f>
        <v>168.80359524793931</v>
      </c>
      <c r="E51" s="184">
        <f>SUM(E20:E24)</f>
        <v>220.42416688540663</v>
      </c>
      <c r="F51" s="184">
        <f>SUM(F20:F24)</f>
        <v>217.40531614463009</v>
      </c>
      <c r="G51" s="184" t="e">
        <f>SUM(G20:G24)</f>
        <v>#REF!</v>
      </c>
      <c r="H51" s="184">
        <v>0</v>
      </c>
      <c r="I51" s="184">
        <f>SUM(I20:I24)</f>
        <v>-51.620571637467336</v>
      </c>
      <c r="J51" s="184">
        <f t="shared" ref="J51:K51" si="17">SUM(J20:J24)</f>
        <v>3.0188507407765641</v>
      </c>
      <c r="K51" s="184" t="e">
        <f t="shared" si="17"/>
        <v>#REF!</v>
      </c>
      <c r="L51" s="235"/>
      <c r="M51" s="151"/>
    </row>
    <row r="52" spans="2:13" x14ac:dyDescent="0.25">
      <c r="B52" s="234"/>
      <c r="C52" s="52" t="str">
        <f>"Yrs 16-20"</f>
        <v>Yrs 16-20</v>
      </c>
      <c r="D52" s="184">
        <f>SUM(D25:D29)</f>
        <v>60.30220064168445</v>
      </c>
      <c r="E52" s="184">
        <f>SUM(E25:E29)</f>
        <v>112.96307206511126</v>
      </c>
      <c r="F52" s="184">
        <f>SUM(F25:F29)</f>
        <v>116.64491564358266</v>
      </c>
      <c r="G52" s="184" t="e">
        <f>SUM(G25:G29)</f>
        <v>#REF!</v>
      </c>
      <c r="H52" s="184">
        <v>0</v>
      </c>
      <c r="I52" s="184">
        <f>SUM(I25:I29)</f>
        <v>-52.660871423426812</v>
      </c>
      <c r="J52" s="184">
        <f t="shared" ref="J52:K52" si="18">SUM(J25:J29)</f>
        <v>-3.6818435784714061</v>
      </c>
      <c r="K52" s="184" t="e">
        <f t="shared" si="18"/>
        <v>#REF!</v>
      </c>
      <c r="L52" s="235"/>
      <c r="M52" s="151"/>
    </row>
    <row r="53" spans="2:13" x14ac:dyDescent="0.25">
      <c r="B53" s="234"/>
      <c r="C53" s="52" t="str">
        <f>"Yrs 21-30"</f>
        <v>Yrs 21-30</v>
      </c>
      <c r="D53" s="184">
        <f>SUM(D30:D39)</f>
        <v>-34.999953305568702</v>
      </c>
      <c r="E53" s="184">
        <f>SUM(E30:E39)</f>
        <v>21.435590298656884</v>
      </c>
      <c r="F53" s="184" t="e">
        <f>SUM(F30:F39)</f>
        <v>#REF!</v>
      </c>
      <c r="G53" s="184" t="e">
        <f>SUM(G30:G39)</f>
        <v>#REF!</v>
      </c>
      <c r="H53" s="222">
        <v>0</v>
      </c>
      <c r="I53" s="222">
        <f>SUM(I30:I39)</f>
        <v>-56.435543604225579</v>
      </c>
      <c r="J53" s="222" t="e">
        <f t="shared" ref="J53:K53" si="19">SUM(J30:J39)</f>
        <v>#REF!</v>
      </c>
      <c r="K53" s="222" t="e">
        <f t="shared" si="19"/>
        <v>#REF!</v>
      </c>
      <c r="L53" s="235"/>
      <c r="M53" s="151"/>
    </row>
    <row r="54" spans="2:13" x14ac:dyDescent="0.25">
      <c r="B54" s="234"/>
      <c r="C54" s="211" t="s">
        <v>55</v>
      </c>
      <c r="D54" s="228">
        <f>SUM(D49:D53)</f>
        <v>467.10092200605703</v>
      </c>
      <c r="E54" s="228">
        <f>SUM(E49:E53)</f>
        <v>691.1273491269734</v>
      </c>
      <c r="F54" s="228" t="e">
        <f>SUM(F49:F53)</f>
        <v>#REF!</v>
      </c>
      <c r="G54" s="228" t="e">
        <f>SUM(G49:G53)</f>
        <v>#REF!</v>
      </c>
      <c r="H54" s="225" t="s">
        <v>55</v>
      </c>
      <c r="I54" s="226">
        <f>SUM(I49:I53)</f>
        <v>-224.02642712091648</v>
      </c>
      <c r="J54" s="226" t="e">
        <f>SUM(J49:J53)</f>
        <v>#REF!</v>
      </c>
      <c r="K54" s="226" t="e">
        <f>SUM(K49:K53)</f>
        <v>#REF!</v>
      </c>
      <c r="L54" s="236"/>
      <c r="M54" s="52"/>
    </row>
    <row r="55" spans="2:13" x14ac:dyDescent="0.25">
      <c r="B55" s="234"/>
      <c r="C55" s="224" t="str">
        <f>"NPV@3 %"</f>
        <v>NPV@3 %</v>
      </c>
      <c r="D55" s="229">
        <f>D42</f>
        <v>366.58829745111785</v>
      </c>
      <c r="E55" s="229">
        <f>E42</f>
        <v>511.47656657492183</v>
      </c>
      <c r="F55" s="229" t="e">
        <f>F42</f>
        <v>#REF!</v>
      </c>
      <c r="G55" s="229" t="e">
        <f>G42</f>
        <v>#REF!</v>
      </c>
      <c r="H55" s="223" t="str">
        <f>"NPV@3 %"</f>
        <v>NPV@3 %</v>
      </c>
      <c r="I55" s="226">
        <f>I42</f>
        <v>-144.88826912380409</v>
      </c>
      <c r="J55" s="226" t="e">
        <f>J42</f>
        <v>#REF!</v>
      </c>
      <c r="K55" s="226" t="e">
        <f>K42</f>
        <v>#REF!</v>
      </c>
      <c r="L55" s="236"/>
      <c r="M55" s="52"/>
    </row>
    <row r="56" spans="2:13" ht="15.75" thickBot="1" x14ac:dyDescent="0.3">
      <c r="B56" s="237"/>
      <c r="C56" s="238"/>
      <c r="D56" s="238"/>
      <c r="E56" s="238"/>
      <c r="F56" s="238"/>
      <c r="G56" s="238"/>
      <c r="H56" s="238"/>
      <c r="I56" s="238"/>
      <c r="J56" s="238"/>
      <c r="K56" s="238"/>
      <c r="L56" s="239"/>
      <c r="M56" s="52"/>
    </row>
    <row r="70" spans="5:6" x14ac:dyDescent="0.25">
      <c r="E70">
        <v>32204184.220538326</v>
      </c>
      <c r="F70">
        <f>E70/1000000</f>
        <v>32.204184220538323</v>
      </c>
    </row>
    <row r="71" spans="5:6" x14ac:dyDescent="0.25">
      <c r="E71">
        <v>32204184.220538322</v>
      </c>
      <c r="F71" s="49">
        <f t="shared" ref="F71:F99" si="20">E71/1000000</f>
        <v>32.204184220538323</v>
      </c>
    </row>
    <row r="72" spans="5:6" x14ac:dyDescent="0.25">
      <c r="E72">
        <v>32204184.220538322</v>
      </c>
      <c r="F72" s="49">
        <f t="shared" si="20"/>
        <v>32.204184220538323</v>
      </c>
    </row>
    <row r="73" spans="5:6" x14ac:dyDescent="0.25">
      <c r="E73">
        <v>32204184.220538329</v>
      </c>
      <c r="F73" s="49">
        <f t="shared" si="20"/>
        <v>32.20418422053833</v>
      </c>
    </row>
    <row r="74" spans="5:6" x14ac:dyDescent="0.25">
      <c r="E74">
        <v>32204184.220538322</v>
      </c>
      <c r="F74" s="49">
        <f t="shared" si="20"/>
        <v>32.204184220538323</v>
      </c>
    </row>
    <row r="75" spans="5:6" x14ac:dyDescent="0.25">
      <c r="E75">
        <v>32204184.220538337</v>
      </c>
      <c r="F75" s="49">
        <f t="shared" si="20"/>
        <v>32.204184220538338</v>
      </c>
    </row>
    <row r="76" spans="5:6" x14ac:dyDescent="0.25">
      <c r="E76">
        <v>32204184.220538326</v>
      </c>
      <c r="F76" s="49">
        <f t="shared" si="20"/>
        <v>32.204184220538323</v>
      </c>
    </row>
    <row r="77" spans="5:6" x14ac:dyDescent="0.25">
      <c r="E77">
        <v>32204184.220538326</v>
      </c>
      <c r="F77" s="49">
        <f t="shared" si="20"/>
        <v>32.204184220538323</v>
      </c>
    </row>
    <row r="78" spans="5:6" x14ac:dyDescent="0.25">
      <c r="E78">
        <v>32204184.220538333</v>
      </c>
      <c r="F78" s="49">
        <f t="shared" si="20"/>
        <v>32.20418422053833</v>
      </c>
    </row>
    <row r="79" spans="5:6" x14ac:dyDescent="0.25">
      <c r="E79">
        <v>32204184.220538337</v>
      </c>
      <c r="F79" s="49">
        <f t="shared" si="20"/>
        <v>32.204184220538338</v>
      </c>
    </row>
    <row r="80" spans="5:6" x14ac:dyDescent="0.25">
      <c r="E80">
        <v>32204184.220538341</v>
      </c>
      <c r="F80" s="49">
        <f t="shared" si="20"/>
        <v>32.204184220538338</v>
      </c>
    </row>
    <row r="81" spans="5:6" x14ac:dyDescent="0.25">
      <c r="E81">
        <v>32204184.220538341</v>
      </c>
      <c r="F81" s="49">
        <f t="shared" si="20"/>
        <v>32.204184220538338</v>
      </c>
    </row>
    <row r="82" spans="5:6" x14ac:dyDescent="0.25">
      <c r="E82">
        <v>32204184.220538329</v>
      </c>
      <c r="F82" s="49">
        <f t="shared" si="20"/>
        <v>32.20418422053833</v>
      </c>
    </row>
    <row r="83" spans="5:6" x14ac:dyDescent="0.25">
      <c r="E83">
        <v>32204184.220538337</v>
      </c>
      <c r="F83" s="49">
        <f t="shared" si="20"/>
        <v>32.204184220538338</v>
      </c>
    </row>
    <row r="84" spans="5:6" x14ac:dyDescent="0.25">
      <c r="E84">
        <v>32204184.220538344</v>
      </c>
      <c r="F84" s="49">
        <f t="shared" si="20"/>
        <v>32.204184220538345</v>
      </c>
    </row>
    <row r="85" spans="5:6" x14ac:dyDescent="0.25">
      <c r="E85">
        <v>32204184.220538341</v>
      </c>
      <c r="F85" s="49">
        <f t="shared" si="20"/>
        <v>32.204184220538338</v>
      </c>
    </row>
    <row r="86" spans="5:6" x14ac:dyDescent="0.25">
      <c r="E86">
        <v>32204184.220538348</v>
      </c>
      <c r="F86" s="49">
        <f t="shared" si="20"/>
        <v>32.204184220538345</v>
      </c>
    </row>
    <row r="87" spans="5:6" x14ac:dyDescent="0.25">
      <c r="E87">
        <v>-8059936.9000122296</v>
      </c>
      <c r="F87" s="49">
        <f t="shared" si="20"/>
        <v>-8.0599369000122287</v>
      </c>
    </row>
    <row r="88" spans="5:6" x14ac:dyDescent="0.25">
      <c r="E88">
        <v>-8301735.0070125964</v>
      </c>
      <c r="F88" s="49">
        <f t="shared" si="20"/>
        <v>-8.3017350070125957</v>
      </c>
    </row>
    <row r="89" spans="5:6" x14ac:dyDescent="0.25">
      <c r="E89">
        <v>-8550787.0572229736</v>
      </c>
      <c r="F89" s="49">
        <f t="shared" si="20"/>
        <v>-8.5507870572229727</v>
      </c>
    </row>
    <row r="90" spans="5:6" x14ac:dyDescent="0.25">
      <c r="E90">
        <v>-8807310.6689396612</v>
      </c>
      <c r="F90" s="49">
        <f t="shared" si="20"/>
        <v>-8.8073106689396621</v>
      </c>
    </row>
    <row r="91" spans="5:6" x14ac:dyDescent="0.25">
      <c r="E91">
        <v>-9071529.989007853</v>
      </c>
      <c r="F91" s="49">
        <f t="shared" si="20"/>
        <v>-9.0715299890078533</v>
      </c>
    </row>
    <row r="92" spans="5:6" x14ac:dyDescent="0.25">
      <c r="E92">
        <v>-9343675.8886780888</v>
      </c>
      <c r="F92" s="49">
        <f t="shared" si="20"/>
        <v>-9.3436758886780886</v>
      </c>
    </row>
    <row r="93" spans="5:6" x14ac:dyDescent="0.25">
      <c r="E93">
        <v>-9623986.1653384306</v>
      </c>
      <c r="F93" s="49">
        <f t="shared" si="20"/>
        <v>-9.6239861653384313</v>
      </c>
    </row>
    <row r="94" spans="5:6" x14ac:dyDescent="0.25">
      <c r="E94">
        <v>-9912705.750298582</v>
      </c>
      <c r="F94" s="49">
        <f t="shared" si="20"/>
        <v>-9.9127057502985814</v>
      </c>
    </row>
    <row r="95" spans="5:6" x14ac:dyDescent="0.25">
      <c r="E95">
        <v>-8168069.5382460346</v>
      </c>
      <c r="F95" s="49">
        <f t="shared" si="20"/>
        <v>-8.1680695382460353</v>
      </c>
    </row>
    <row r="96" spans="5:6" x14ac:dyDescent="0.25">
      <c r="E96">
        <v>-6309833.7182950601</v>
      </c>
      <c r="F96" s="49">
        <f t="shared" si="20"/>
        <v>-6.3098337182950601</v>
      </c>
    </row>
    <row r="97" spans="5:6" x14ac:dyDescent="0.25">
      <c r="E97">
        <v>-4332752.4865626087</v>
      </c>
      <c r="F97" s="49">
        <f t="shared" si="20"/>
        <v>-4.332752486562609</v>
      </c>
    </row>
    <row r="98" spans="5:6" x14ac:dyDescent="0.25">
      <c r="E98">
        <v>-2231367.530579743</v>
      </c>
      <c r="F98" s="49">
        <f t="shared" si="20"/>
        <v>-2.2313675305797429</v>
      </c>
    </row>
    <row r="99" spans="5:6" x14ac:dyDescent="0.25">
      <c r="E99">
        <v>0</v>
      </c>
      <c r="F99" s="49">
        <f t="shared" si="20"/>
        <v>0</v>
      </c>
    </row>
  </sheetData>
  <mergeCells count="12">
    <mergeCell ref="D47:G47"/>
    <mergeCell ref="AA21:AD21"/>
    <mergeCell ref="D8:G8"/>
    <mergeCell ref="L8:R8"/>
    <mergeCell ref="Z8:AC8"/>
    <mergeCell ref="H8:K8"/>
    <mergeCell ref="T8:W8"/>
    <mergeCell ref="H47:K47"/>
    <mergeCell ref="L9:M9"/>
    <mergeCell ref="N9:O9"/>
    <mergeCell ref="P9:Q9"/>
    <mergeCell ref="R9:S9"/>
  </mergeCells>
  <conditionalFormatting sqref="T40 T10:T11">
    <cfRule type="iconSet" priority="10">
      <iconSet>
        <cfvo type="percent" val="0"/>
        <cfvo type="num" val="0.7"/>
        <cfvo type="num" val="0.8"/>
      </iconSet>
    </cfRule>
  </conditionalFormatting>
  <conditionalFormatting sqref="U10:U11">
    <cfRule type="iconSet" priority="9">
      <iconSet>
        <cfvo type="percent" val="0"/>
        <cfvo type="num" val="0.7"/>
        <cfvo type="num" val="0.8"/>
      </iconSet>
    </cfRule>
  </conditionalFormatting>
  <conditionalFormatting sqref="V10:W11">
    <cfRule type="iconSet" priority="8">
      <iconSet>
        <cfvo type="percent" val="0"/>
        <cfvo type="num" val="0.7"/>
        <cfvo type="num" val="0.8"/>
      </iconSet>
    </cfRule>
  </conditionalFormatting>
  <conditionalFormatting sqref="T12:T39">
    <cfRule type="iconSet" priority="12">
      <iconSet>
        <cfvo type="percent" val="0"/>
        <cfvo type="num" val="0.7"/>
        <cfvo type="num" val="0.8"/>
      </iconSet>
    </cfRule>
  </conditionalFormatting>
  <conditionalFormatting sqref="U12:U39">
    <cfRule type="iconSet" priority="14">
      <iconSet>
        <cfvo type="percent" val="0"/>
        <cfvo type="num" val="0.7"/>
        <cfvo type="num" val="0.8"/>
      </iconSet>
    </cfRule>
  </conditionalFormatting>
  <conditionalFormatting sqref="V12:W39">
    <cfRule type="iconSet" priority="16">
      <iconSet>
        <cfvo type="percent" val="0"/>
        <cfvo type="num" val="0.7"/>
        <cfvo type="num" val="0.8"/>
      </iconSet>
    </cfRule>
  </conditionalFormatting>
  <conditionalFormatting sqref="M11:M39">
    <cfRule type="iconSet" priority="18">
      <iconSet iconSet="3Symbols" showValue="0" reverse="1">
        <cfvo type="percent" val="0"/>
        <cfvo type="percent" val="33"/>
        <cfvo type="percent" val="67"/>
      </iconSet>
    </cfRule>
  </conditionalFormatting>
  <conditionalFormatting sqref="O11:O39">
    <cfRule type="iconSet" priority="20">
      <iconSet iconSet="3Symbols" showValue="0">
        <cfvo type="percent" val="0"/>
        <cfvo type="percent" val="33"/>
        <cfvo type="percent" val="67"/>
      </iconSet>
    </cfRule>
  </conditionalFormatting>
  <conditionalFormatting sqref="Q11:Q39">
    <cfRule type="iconSet" priority="22">
      <iconSet iconSet="3Symbols" showValue="0">
        <cfvo type="percent" val="0"/>
        <cfvo type="percent" val="33"/>
        <cfvo type="percent" val="67"/>
      </iconSet>
    </cfRule>
  </conditionalFormatting>
  <conditionalFormatting sqref="S11:S39">
    <cfRule type="iconSet" priority="24">
      <iconSet iconSet="3Symbols" showValue="0">
        <cfvo type="percent" val="0"/>
        <cfvo type="percent" val="33"/>
        <cfvo type="percent" val="67"/>
      </iconSet>
    </cfRule>
  </conditionalFormatting>
  <hyperlinks>
    <hyperlink ref="C42" r:id="rId1" display="NPV@3 %"/>
    <hyperlink ref="H55" r:id="rId2" display="NPV@3 %"/>
    <hyperlink ref="C55" r:id="rId3" display="NPV@3 %"/>
  </hyperlinks>
  <pageMargins left="0.25" right="0.25" top="0.75" bottom="0.75" header="0.3" footer="0.3"/>
  <pageSetup paperSize="3" scale="81" orientation="landscape" r:id="rId4"/>
  <headerFooter differentFirst="1">
    <oddFooter>&amp;R&amp;P</oddFooter>
    <firstHeader>&amp;C&amp;20Attachment A&amp;16
&amp;18Analysis of Unfunded Pension Liability and Payment Options&amp;16
6/30/13 Actuarial Valuation
Prepared October 2014</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9"/>
  <sheetViews>
    <sheetView showGridLines="0" topLeftCell="A16" workbookViewId="0">
      <selection activeCell="E7" sqref="E7:E10"/>
    </sheetView>
  </sheetViews>
  <sheetFormatPr defaultRowHeight="15" x14ac:dyDescent="0.25"/>
  <cols>
    <col min="3" max="3" width="16.42578125" bestFit="1" customWidth="1"/>
    <col min="4" max="4" width="15.28515625" bestFit="1" customWidth="1"/>
    <col min="5" max="5" width="13.42578125" bestFit="1" customWidth="1"/>
    <col min="7" max="7" width="19.85546875" style="49" customWidth="1"/>
    <col min="10" max="10" width="14.28515625" bestFit="1" customWidth="1"/>
    <col min="11" max="12" width="12.5703125" bestFit="1" customWidth="1"/>
  </cols>
  <sheetData>
    <row r="2" spans="1:12" x14ac:dyDescent="0.25">
      <c r="A2" s="551" t="s">
        <v>59</v>
      </c>
      <c r="B2" s="553"/>
      <c r="C2" s="553"/>
      <c r="D2" s="553"/>
      <c r="E2" s="552"/>
      <c r="H2" s="551" t="s">
        <v>64</v>
      </c>
      <c r="I2" s="553"/>
      <c r="J2" s="553"/>
      <c r="K2" s="553"/>
      <c r="L2" s="552"/>
    </row>
    <row r="3" spans="1:12" x14ac:dyDescent="0.25">
      <c r="A3" s="81"/>
      <c r="B3" s="82"/>
      <c r="C3" s="82" t="s">
        <v>60</v>
      </c>
      <c r="D3" s="82" t="s">
        <v>66</v>
      </c>
      <c r="E3" s="82" t="s">
        <v>51</v>
      </c>
      <c r="H3" s="81"/>
      <c r="I3" s="82"/>
      <c r="J3" s="82" t="s">
        <v>60</v>
      </c>
      <c r="K3" s="82" t="s">
        <v>66</v>
      </c>
      <c r="L3" s="82" t="s">
        <v>51</v>
      </c>
    </row>
    <row r="4" spans="1:12" x14ac:dyDescent="0.25">
      <c r="A4" s="83" t="s">
        <v>50</v>
      </c>
      <c r="B4" s="84" t="s">
        <v>62</v>
      </c>
      <c r="C4" s="84" t="s">
        <v>51</v>
      </c>
      <c r="D4" s="84" t="s">
        <v>61</v>
      </c>
      <c r="E4" s="85" t="s">
        <v>63</v>
      </c>
      <c r="F4" s="49"/>
      <c r="H4" s="83" t="s">
        <v>50</v>
      </c>
      <c r="I4" s="84" t="s">
        <v>62</v>
      </c>
      <c r="J4" s="84" t="s">
        <v>51</v>
      </c>
      <c r="K4" s="84" t="s">
        <v>61</v>
      </c>
      <c r="L4" s="85" t="s">
        <v>63</v>
      </c>
    </row>
    <row r="5" spans="1:12" s="49" customFormat="1" x14ac:dyDescent="0.25">
      <c r="A5" s="23"/>
      <c r="B5" s="23"/>
      <c r="C5" s="23"/>
      <c r="D5" s="23"/>
      <c r="E5" s="86"/>
      <c r="G5" s="90">
        <v>2013</v>
      </c>
      <c r="H5" s="23"/>
      <c r="I5" s="49">
        <f>G5</f>
        <v>2013</v>
      </c>
      <c r="J5" s="50">
        <f>'Misc Curr Schd w2016Loss &amp; DC'!Y14+'Safety Curr ScheduleOLD'!O14</f>
        <v>264406815</v>
      </c>
      <c r="K5" s="38" t="e">
        <f>'Misc Curr Schd w2016Loss &amp; DC'!#REF!+'Safety Curr ScheduleOLD'!#REF!</f>
        <v>#REF!</v>
      </c>
      <c r="L5" s="93" t="e">
        <f>J5-K5</f>
        <v>#REF!</v>
      </c>
    </row>
    <row r="6" spans="1:12" s="49" customFormat="1" x14ac:dyDescent="0.25">
      <c r="A6" s="23"/>
      <c r="B6" s="23"/>
      <c r="C6" s="23"/>
      <c r="D6" s="23"/>
      <c r="E6" s="86"/>
      <c r="G6" s="90">
        <f>G5+1</f>
        <v>2014</v>
      </c>
      <c r="H6" s="23"/>
      <c r="I6" s="49">
        <f>I5+1</f>
        <v>2014</v>
      </c>
      <c r="J6" s="50">
        <f>'Misc Curr Schd w2016Loss &amp; DC'!Y15+'Safety Curr ScheduleOLD'!O15</f>
        <v>269176213</v>
      </c>
      <c r="K6" s="38" t="e">
        <f>'Misc Curr Schd w2016Loss &amp; DC'!#REF!+'Safety Curr ScheduleOLD'!#REF!</f>
        <v>#REF!</v>
      </c>
      <c r="L6" s="93" t="e">
        <f t="shared" ref="L6:L36" si="0">J6-K6</f>
        <v>#REF!</v>
      </c>
    </row>
    <row r="7" spans="1:12" x14ac:dyDescent="0.25">
      <c r="A7">
        <v>1</v>
      </c>
      <c r="B7">
        <v>2016</v>
      </c>
      <c r="C7" s="50">
        <f>'Misc Curr Schd w2016Loss &amp; DC'!AA16+'Safety Curr ScheduleOLD'!Q16</f>
        <v>18583373.288971506</v>
      </c>
      <c r="D7" s="5" t="e">
        <f>'Misc Curr Schd w2016Loss &amp; DC'!#REF!+'Safety Curr ScheduleOLD'!A16</f>
        <v>#REF!</v>
      </c>
      <c r="E7" s="5" t="e">
        <f>D7-C7</f>
        <v>#REF!</v>
      </c>
      <c r="F7" s="49"/>
      <c r="G7" s="90">
        <f t="shared" ref="G7:G36" si="1">G6+1</f>
        <v>2015</v>
      </c>
      <c r="H7" s="49">
        <v>1</v>
      </c>
      <c r="I7" s="49">
        <v>2015</v>
      </c>
      <c r="J7" s="50">
        <f>'Misc Curr Schd w2016Loss &amp; DC'!Y16+'Safety Curr ScheduleOLD'!O16</f>
        <v>302062283.53782773</v>
      </c>
      <c r="K7" s="38" t="e">
        <f>'Misc Curr Schd w2016Loss &amp; DC'!#REF!+'Safety Curr ScheduleOLD'!#REF!</f>
        <v>#REF!</v>
      </c>
      <c r="L7" s="93" t="e">
        <f t="shared" si="0"/>
        <v>#REF!</v>
      </c>
    </row>
    <row r="8" spans="1:12" x14ac:dyDescent="0.25">
      <c r="A8">
        <f>A7+1</f>
        <v>2</v>
      </c>
      <c r="B8">
        <f>B7+1</f>
        <v>2017</v>
      </c>
      <c r="C8" s="50">
        <f>'Misc Curr Schd w2016Loss &amp; DC'!AA17+'Safety Curr ScheduleOLD'!Q17</f>
        <v>19808625.226798475</v>
      </c>
      <c r="D8" s="5" t="e">
        <f>'Misc Curr Schd w2016Loss &amp; DC'!#REF!+'Safety Curr ScheduleOLD'!A17</f>
        <v>#REF!</v>
      </c>
      <c r="E8" s="5" t="e">
        <f t="shared" ref="E8:E36" si="2">D8-C8</f>
        <v>#REF!</v>
      </c>
      <c r="G8" s="90">
        <f t="shared" si="1"/>
        <v>2016</v>
      </c>
      <c r="H8" s="49">
        <f>H7+1</f>
        <v>2</v>
      </c>
      <c r="I8" s="49">
        <f>I7+1</f>
        <v>2016</v>
      </c>
      <c r="J8" s="50">
        <f>'Misc Curr Schd w2016Loss &amp; DC'!Y17+'Safety Curr ScheduleOLD'!O17</f>
        <v>316769481.49116087</v>
      </c>
      <c r="K8" s="38" t="e">
        <f>'Misc Curr Schd w2016Loss &amp; DC'!#REF!+'Safety Curr ScheduleOLD'!#REF!</f>
        <v>#REF!</v>
      </c>
      <c r="L8" s="93" t="e">
        <f t="shared" si="0"/>
        <v>#REF!</v>
      </c>
    </row>
    <row r="9" spans="1:12" x14ac:dyDescent="0.25">
      <c r="A9" s="49">
        <f t="shared" ref="A9:A36" si="3">A8+1</f>
        <v>3</v>
      </c>
      <c r="B9" s="49">
        <f t="shared" ref="B9:B36" si="4">B8+1</f>
        <v>2018</v>
      </c>
      <c r="C9" s="50">
        <f>'Misc Curr Schd w2016Loss &amp; DC'!AA18+'Safety Curr ScheduleOLD'!Q18</f>
        <v>21207136.654249743</v>
      </c>
      <c r="D9" s="5" t="e">
        <f>'Misc Curr Schd w2016Loss &amp; DC'!#REF!+'Safety Curr ScheduleOLD'!A18</f>
        <v>#REF!</v>
      </c>
      <c r="E9" s="5" t="e">
        <f t="shared" si="2"/>
        <v>#REF!</v>
      </c>
      <c r="G9" s="90">
        <f t="shared" si="1"/>
        <v>2017</v>
      </c>
      <c r="H9" s="49">
        <f t="shared" ref="H9:H36" si="5">H8+1</f>
        <v>3</v>
      </c>
      <c r="I9" s="49">
        <f t="shared" ref="I9:I36" si="6">I8+1</f>
        <v>2017</v>
      </c>
      <c r="J9" s="50">
        <f>'Misc Curr Schd w2016Loss &amp; DC'!Y18+'Safety Curr ScheduleOLD'!O18</f>
        <v>319621753.52388012</v>
      </c>
      <c r="K9" s="38" t="e">
        <f>'Misc Curr Schd w2016Loss &amp; DC'!#REF!+'Safety Curr ScheduleOLD'!#REF!</f>
        <v>#REF!</v>
      </c>
      <c r="L9" s="93" t="e">
        <f t="shared" si="0"/>
        <v>#REF!</v>
      </c>
    </row>
    <row r="10" spans="1:12" x14ac:dyDescent="0.25">
      <c r="A10" s="49">
        <f t="shared" si="3"/>
        <v>4</v>
      </c>
      <c r="B10" s="49">
        <f t="shared" si="4"/>
        <v>2019</v>
      </c>
      <c r="C10" s="50">
        <f>'Misc Curr Schd w2016Loss &amp; DC'!AA19+'Safety Curr ScheduleOLD'!Q19</f>
        <v>22824274.042302266</v>
      </c>
      <c r="D10" s="5" t="e">
        <f>'Misc Curr Schd w2016Loss &amp; DC'!#REF!+'Safety Curr ScheduleOLD'!A19</f>
        <v>#REF!</v>
      </c>
      <c r="E10" s="5" t="e">
        <f t="shared" si="2"/>
        <v>#REF!</v>
      </c>
      <c r="G10" s="90">
        <f t="shared" si="1"/>
        <v>2018</v>
      </c>
      <c r="H10" s="49">
        <f t="shared" si="5"/>
        <v>4</v>
      </c>
      <c r="I10" s="49">
        <f t="shared" si="6"/>
        <v>2018</v>
      </c>
      <c r="J10" s="50">
        <f>'Misc Curr Schd w2016Loss &amp; DC'!Y19+'Safety Curr ScheduleOLD'!O19</f>
        <v>320892568.43667662</v>
      </c>
      <c r="K10" s="38" t="e">
        <f>'Misc Curr Schd w2016Loss &amp; DC'!#REF!+'Safety Curr ScheduleOLD'!#REF!</f>
        <v>#REF!</v>
      </c>
      <c r="L10" s="93" t="e">
        <f t="shared" si="0"/>
        <v>#REF!</v>
      </c>
    </row>
    <row r="11" spans="1:12" x14ac:dyDescent="0.25">
      <c r="A11" s="49">
        <f t="shared" si="3"/>
        <v>5</v>
      </c>
      <c r="B11" s="49">
        <f t="shared" si="4"/>
        <v>2020</v>
      </c>
      <c r="C11" s="50">
        <f>'Misc Curr Schd w2016Loss &amp; DC'!AA20+'Safety Curr ScheduleOLD'!Q20</f>
        <v>25138436.386558264</v>
      </c>
      <c r="D11" s="5" t="e">
        <f>'Misc Curr Schd w2016Loss &amp; DC'!#REF!+'Safety Curr ScheduleOLD'!A20</f>
        <v>#REF!</v>
      </c>
      <c r="E11" s="5" t="e">
        <f t="shared" si="2"/>
        <v>#REF!</v>
      </c>
      <c r="G11" s="90">
        <f t="shared" si="1"/>
        <v>2019</v>
      </c>
      <c r="H11" s="49">
        <f t="shared" si="5"/>
        <v>5</v>
      </c>
      <c r="I11" s="49">
        <f t="shared" si="6"/>
        <v>2019</v>
      </c>
      <c r="J11" s="50">
        <f>'Misc Curr Schd w2016Loss &amp; DC'!Y20+'Safety Curr ScheduleOLD'!O20</f>
        <v>320616831.59041774</v>
      </c>
      <c r="K11" s="38" t="e">
        <f>'Misc Curr Schd w2016Loss &amp; DC'!#REF!+'Safety Curr ScheduleOLD'!#REF!</f>
        <v>#REF!</v>
      </c>
      <c r="L11" s="93" t="e">
        <f t="shared" si="0"/>
        <v>#REF!</v>
      </c>
    </row>
    <row r="12" spans="1:12" x14ac:dyDescent="0.25">
      <c r="A12" s="49">
        <f t="shared" si="3"/>
        <v>6</v>
      </c>
      <c r="B12" s="49">
        <f t="shared" si="4"/>
        <v>2021</v>
      </c>
      <c r="C12" s="50">
        <f>'Misc Curr Schd w2016Loss &amp; DC'!AA21+'Safety Curr ScheduleOLD'!Q21</f>
        <v>26689915.516569845</v>
      </c>
      <c r="D12" s="5" t="e">
        <f>'Misc Curr Schd w2016Loss &amp; DC'!#REF!+'Safety Curr ScheduleOLD'!A21</f>
        <v>#REF!</v>
      </c>
      <c r="E12" s="5" t="e">
        <f t="shared" si="2"/>
        <v>#REF!</v>
      </c>
      <c r="G12" s="90">
        <f t="shared" si="1"/>
        <v>2020</v>
      </c>
      <c r="H12" s="49">
        <f t="shared" si="5"/>
        <v>6</v>
      </c>
      <c r="I12" s="49">
        <f t="shared" si="6"/>
        <v>2020</v>
      </c>
      <c r="J12" s="50">
        <f>'Misc Curr Schd w2016Loss &amp; DC'!Y21+'Safety Curr ScheduleOLD'!O21</f>
        <v>317930200.18951952</v>
      </c>
      <c r="K12" s="38" t="e">
        <f>'Misc Curr Schd w2016Loss &amp; DC'!#REF!+'Safety Curr ScheduleOLD'!#REF!</f>
        <v>#REF!</v>
      </c>
      <c r="L12" s="93" t="e">
        <f t="shared" si="0"/>
        <v>#REF!</v>
      </c>
    </row>
    <row r="13" spans="1:12" x14ac:dyDescent="0.25">
      <c r="A13" s="49">
        <f t="shared" si="3"/>
        <v>7</v>
      </c>
      <c r="B13" s="49">
        <f t="shared" si="4"/>
        <v>2022</v>
      </c>
      <c r="C13" s="50">
        <f>'Misc Curr Schd w2016Loss &amp; DC'!AA22+'Safety Curr ScheduleOLD'!Q22</f>
        <v>27876022.66084861</v>
      </c>
      <c r="D13" s="5" t="e">
        <f>'Misc Curr Schd w2016Loss &amp; DC'!#REF!+'Safety Curr ScheduleOLD'!A22</f>
        <v>#REF!</v>
      </c>
      <c r="E13" s="5" t="e">
        <f t="shared" si="2"/>
        <v>#REF!</v>
      </c>
      <c r="G13" s="90">
        <f t="shared" si="1"/>
        <v>2021</v>
      </c>
      <c r="H13" s="49">
        <f t="shared" si="5"/>
        <v>7</v>
      </c>
      <c r="I13" s="49">
        <f t="shared" si="6"/>
        <v>2021</v>
      </c>
      <c r="J13" s="50">
        <f>'Misc Curr Schd w2016Loss &amp; DC'!Y22+'Safety Curr ScheduleOLD'!O22</f>
        <v>313449337.73395991</v>
      </c>
      <c r="K13" s="38" t="e">
        <f>'Misc Curr Schd w2016Loss &amp; DC'!#REF!+'Safety Curr ScheduleOLD'!#REF!</f>
        <v>#REF!</v>
      </c>
      <c r="L13" s="93" t="e">
        <f t="shared" si="0"/>
        <v>#REF!</v>
      </c>
    </row>
    <row r="14" spans="1:12" x14ac:dyDescent="0.25">
      <c r="A14" s="49">
        <f t="shared" si="3"/>
        <v>8</v>
      </c>
      <c r="B14" s="49">
        <f t="shared" si="4"/>
        <v>2023</v>
      </c>
      <c r="C14" s="50">
        <f>'Misc Curr Schd w2016Loss &amp; DC'!AA23+'Safety Curr ScheduleOLD'!Q23</f>
        <v>28980370.087092318</v>
      </c>
      <c r="D14" s="5" t="e">
        <f>'Misc Curr Schd w2016Loss &amp; DC'!#REF!+'Safety Curr ScheduleOLD'!A23</f>
        <v>#REF!</v>
      </c>
      <c r="E14" s="5" t="e">
        <f t="shared" si="2"/>
        <v>#REF!</v>
      </c>
      <c r="G14" s="90">
        <f t="shared" si="1"/>
        <v>2022</v>
      </c>
      <c r="H14" s="49">
        <f t="shared" si="5"/>
        <v>8</v>
      </c>
      <c r="I14" s="49">
        <f t="shared" si="6"/>
        <v>2022</v>
      </c>
      <c r="J14" s="50">
        <f>'Misc Curr Schd w2016Loss &amp; DC'!Y23+'Safety Curr ScheduleOLD'!O23</f>
        <v>307424489.23220396</v>
      </c>
      <c r="K14" s="38" t="e">
        <f>'Misc Curr Schd w2016Loss &amp; DC'!#REF!+'Safety Curr ScheduleOLD'!#REF!</f>
        <v>#REF!</v>
      </c>
      <c r="L14" s="93" t="e">
        <f t="shared" si="0"/>
        <v>#REF!</v>
      </c>
    </row>
    <row r="15" spans="1:12" x14ac:dyDescent="0.25">
      <c r="A15" s="49">
        <f t="shared" si="3"/>
        <v>9</v>
      </c>
      <c r="B15" s="49">
        <f t="shared" si="4"/>
        <v>2024</v>
      </c>
      <c r="C15" s="50">
        <f>'Misc Curr Schd w2016Loss &amp; DC'!AA24+'Safety Curr ScheduleOLD'!Q24</f>
        <v>29849781.189705096</v>
      </c>
      <c r="D15" s="5" t="e">
        <f>'Misc Curr Schd w2016Loss &amp; DC'!#REF!+'Safety Curr ScheduleOLD'!A24</f>
        <v>#REF!</v>
      </c>
      <c r="E15" s="5" t="e">
        <f t="shared" si="2"/>
        <v>#REF!</v>
      </c>
      <c r="G15" s="90">
        <f t="shared" si="1"/>
        <v>2023</v>
      </c>
      <c r="H15" s="49">
        <f t="shared" si="5"/>
        <v>9</v>
      </c>
      <c r="I15" s="49">
        <f t="shared" si="6"/>
        <v>2023</v>
      </c>
      <c r="J15" s="50">
        <f>'Misc Curr Schd w2016Loss &amp; DC'!Y24+'Safety Curr ScheduleOLD'!O24</f>
        <v>299829828.20070583</v>
      </c>
      <c r="K15" s="38" t="e">
        <f>'Misc Curr Schd w2016Loss &amp; DC'!#REF!+'Safety Curr ScheduleOLD'!#REF!</f>
        <v>#REF!</v>
      </c>
      <c r="L15" s="93" t="e">
        <f t="shared" si="0"/>
        <v>#REF!</v>
      </c>
    </row>
    <row r="16" spans="1:12" x14ac:dyDescent="0.25">
      <c r="A16" s="49">
        <f t="shared" si="3"/>
        <v>10</v>
      </c>
      <c r="B16" s="49">
        <f t="shared" si="4"/>
        <v>2025</v>
      </c>
      <c r="C16" s="50">
        <f>'Misc Curr Schd w2016Loss &amp; DC'!AA25+'Safety Curr ScheduleOLD'!Q25</f>
        <v>30745274.625396244</v>
      </c>
      <c r="D16" s="5" t="e">
        <f>'Misc Curr Schd w2016Loss &amp; DC'!#REF!+'Safety Curr ScheduleOLD'!A25</f>
        <v>#REF!</v>
      </c>
      <c r="E16" s="5" t="e">
        <f t="shared" si="2"/>
        <v>#REF!</v>
      </c>
      <c r="G16" s="90">
        <f t="shared" si="1"/>
        <v>2024</v>
      </c>
      <c r="H16" s="49">
        <f t="shared" si="5"/>
        <v>10</v>
      </c>
      <c r="I16" s="49">
        <f t="shared" si="6"/>
        <v>2024</v>
      </c>
      <c r="J16" s="50">
        <f>'Misc Curr Schd w2016Loss &amp; DC'!Y25+'Safety Curr ScheduleOLD'!O25</f>
        <v>290795931.44159853</v>
      </c>
      <c r="K16" s="38" t="e">
        <f>'Misc Curr Schd w2016Loss &amp; DC'!#REF!+'Safety Curr ScheduleOLD'!#REF!</f>
        <v>#REF!</v>
      </c>
      <c r="L16" s="93" t="e">
        <f t="shared" si="0"/>
        <v>#REF!</v>
      </c>
    </row>
    <row r="17" spans="1:12" x14ac:dyDescent="0.25">
      <c r="A17" s="49">
        <f t="shared" si="3"/>
        <v>11</v>
      </c>
      <c r="B17" s="49">
        <f t="shared" si="4"/>
        <v>2026</v>
      </c>
      <c r="C17" s="50">
        <f>'Misc Curr Schd w2016Loss &amp; DC'!AA26+'Safety Curr ScheduleOLD'!Q26</f>
        <v>31667632.864158131</v>
      </c>
      <c r="D17" s="5" t="e">
        <f>'Misc Curr Schd w2016Loss &amp; DC'!#REF!+'Safety Curr ScheduleOLD'!A26</f>
        <v>#REF!</v>
      </c>
      <c r="E17" s="5" t="e">
        <f t="shared" si="2"/>
        <v>#REF!</v>
      </c>
      <c r="G17" s="90">
        <f t="shared" si="1"/>
        <v>2025</v>
      </c>
      <c r="H17" s="49">
        <f t="shared" si="5"/>
        <v>11</v>
      </c>
      <c r="I17" s="49">
        <f t="shared" si="6"/>
        <v>2025</v>
      </c>
      <c r="J17" s="50">
        <f>'Misc Curr Schd w2016Loss &amp; DC'!Y26+'Safety Curr ScheduleOLD'!O26</f>
        <v>280192260.80550694</v>
      </c>
      <c r="K17" s="38" t="e">
        <f>'Misc Curr Schd w2016Loss &amp; DC'!#REF!+'Safety Curr ScheduleOLD'!#REF!</f>
        <v>#REF!</v>
      </c>
      <c r="L17" s="93" t="e">
        <f t="shared" si="0"/>
        <v>#REF!</v>
      </c>
    </row>
    <row r="18" spans="1:12" x14ac:dyDescent="0.25">
      <c r="A18" s="49">
        <f t="shared" si="3"/>
        <v>12</v>
      </c>
      <c r="B18" s="49">
        <f t="shared" si="4"/>
        <v>2027</v>
      </c>
      <c r="C18" s="50">
        <f>'Misc Curr Schd w2016Loss &amp; DC'!AA27+'Safety Curr ScheduleOLD'!Q27</f>
        <v>32617661.850082889</v>
      </c>
      <c r="D18" s="5" t="e">
        <f>'Misc Curr Schd w2016Loss &amp; DC'!#REF!+'Safety Curr ScheduleOLD'!A27</f>
        <v>#REF!</v>
      </c>
      <c r="E18" s="5" t="e">
        <f t="shared" si="2"/>
        <v>#REF!</v>
      </c>
      <c r="G18" s="90">
        <f t="shared" si="1"/>
        <v>2026</v>
      </c>
      <c r="H18" s="49">
        <f t="shared" si="5"/>
        <v>12</v>
      </c>
      <c r="I18" s="49">
        <f t="shared" si="6"/>
        <v>2026</v>
      </c>
      <c r="J18" s="50">
        <f>'Misc Curr Schd w2016Loss &amp; DC'!Y27+'Safety Curr ScheduleOLD'!O27</f>
        <v>267878054.47078788</v>
      </c>
      <c r="K18" s="38" t="e">
        <f>'Misc Curr Schd w2016Loss &amp; DC'!#REF!+'Safety Curr ScheduleOLD'!#REF!</f>
        <v>#REF!</v>
      </c>
      <c r="L18" s="93" t="e">
        <f t="shared" si="0"/>
        <v>#REF!</v>
      </c>
    </row>
    <row r="19" spans="1:12" x14ac:dyDescent="0.25">
      <c r="A19" s="49">
        <f t="shared" si="3"/>
        <v>13</v>
      </c>
      <c r="B19" s="49">
        <f t="shared" si="4"/>
        <v>2028</v>
      </c>
      <c r="C19" s="50">
        <f>'Misc Curr Schd w2016Loss &amp; DC'!AA28+'Safety Curr ScheduleOLD'!Q28</f>
        <v>33596191.705585375</v>
      </c>
      <c r="D19" s="5" t="e">
        <f>'Misc Curr Schd w2016Loss &amp; DC'!#REF!+'Safety Curr ScheduleOLD'!A28</f>
        <v>#REF!</v>
      </c>
      <c r="E19" s="5" t="e">
        <f t="shared" si="2"/>
        <v>#REF!</v>
      </c>
      <c r="G19" s="90">
        <f t="shared" si="1"/>
        <v>2027</v>
      </c>
      <c r="H19" s="49">
        <f t="shared" si="5"/>
        <v>13</v>
      </c>
      <c r="I19" s="49">
        <f t="shared" si="6"/>
        <v>2027</v>
      </c>
      <c r="J19" s="50">
        <f>'Misc Curr Schd w2016Loss &amp; DC'!Y28+'Safety Curr ScheduleOLD'!O28</f>
        <v>253701564.28748995</v>
      </c>
      <c r="K19" s="38" t="e">
        <f>'Misc Curr Schd w2016Loss &amp; DC'!#REF!+'Safety Curr ScheduleOLD'!#REF!</f>
        <v>#REF!</v>
      </c>
      <c r="L19" s="93" t="e">
        <f t="shared" si="0"/>
        <v>#REF!</v>
      </c>
    </row>
    <row r="20" spans="1:12" x14ac:dyDescent="0.25">
      <c r="A20" s="49">
        <f t="shared" si="3"/>
        <v>14</v>
      </c>
      <c r="B20" s="49">
        <f t="shared" si="4"/>
        <v>2029</v>
      </c>
      <c r="C20" s="50">
        <f>'Misc Curr Schd w2016Loss &amp; DC'!AA29+'Safety Curr ScheduleOLD'!Q29</f>
        <v>34604077.456752926</v>
      </c>
      <c r="D20" s="5" t="e">
        <f>'Misc Curr Schd w2016Loss &amp; DC'!#REF!+'Safety Curr ScheduleOLD'!A29</f>
        <v>#REF!</v>
      </c>
      <c r="E20" s="5" t="e">
        <f t="shared" si="2"/>
        <v>#REF!</v>
      </c>
      <c r="G20" s="90">
        <f t="shared" si="1"/>
        <v>2028</v>
      </c>
      <c r="H20" s="49">
        <f t="shared" si="5"/>
        <v>14</v>
      </c>
      <c r="I20" s="49">
        <f t="shared" si="6"/>
        <v>2028</v>
      </c>
      <c r="J20" s="50">
        <f>'Misc Curr Schd w2016Loss &amp; DC'!Y29+'Safety Curr ScheduleOLD'!O29</f>
        <v>237499237.2440021</v>
      </c>
      <c r="K20" s="38" t="e">
        <f>'Misc Curr Schd w2016Loss &amp; DC'!#REF!+'Safety Curr ScheduleOLD'!#REF!</f>
        <v>#REF!</v>
      </c>
      <c r="L20" s="93" t="e">
        <f t="shared" si="0"/>
        <v>#REF!</v>
      </c>
    </row>
    <row r="21" spans="1:12" x14ac:dyDescent="0.25">
      <c r="A21" s="49">
        <f t="shared" si="3"/>
        <v>15</v>
      </c>
      <c r="B21" s="49">
        <f t="shared" si="4"/>
        <v>2030</v>
      </c>
      <c r="C21" s="50">
        <f>'Misc Curr Schd w2016Loss &amp; DC'!AA30+'Safety Curr ScheduleOLD'!Q30</f>
        <v>35642199.780455522</v>
      </c>
      <c r="D21" s="5" t="e">
        <f>'Misc Curr Schd w2016Loss &amp; DC'!#REF!+'Safety Curr ScheduleOLD'!A30</f>
        <v>#REF!</v>
      </c>
      <c r="E21" s="5" t="e">
        <f t="shared" si="2"/>
        <v>#REF!</v>
      </c>
      <c r="G21" s="90">
        <f t="shared" si="1"/>
        <v>2029</v>
      </c>
      <c r="H21" s="49">
        <f t="shared" si="5"/>
        <v>15</v>
      </c>
      <c r="I21" s="49">
        <f t="shared" si="6"/>
        <v>2029</v>
      </c>
      <c r="J21" s="50">
        <f>'Misc Curr Schd w2016Loss &amp; DC'!Y30+'Safety Curr ScheduleOLD'!O30</f>
        <v>219094836.9891299</v>
      </c>
      <c r="K21" s="38" t="e">
        <f>'Misc Curr Schd w2016Loss &amp; DC'!#REF!+'Safety Curr ScheduleOLD'!#REF!</f>
        <v>#REF!</v>
      </c>
      <c r="L21" s="93" t="e">
        <f t="shared" si="0"/>
        <v>#REF!</v>
      </c>
    </row>
    <row r="22" spans="1:12" x14ac:dyDescent="0.25">
      <c r="A22" s="49">
        <f t="shared" si="3"/>
        <v>16</v>
      </c>
      <c r="B22" s="49">
        <f t="shared" si="4"/>
        <v>2031</v>
      </c>
      <c r="C22" s="50">
        <f>'Misc Curr Schd w2016Loss &amp; DC'!AA31+'Safety Curr ScheduleOLD'!Q31</f>
        <v>36711465.773869187</v>
      </c>
      <c r="D22" s="5" t="e">
        <f>'Misc Curr Schd w2016Loss &amp; DC'!#REF!+'Safety Curr ScheduleOLD'!A31</f>
        <v>#REF!</v>
      </c>
      <c r="E22" s="5" t="e">
        <f t="shared" si="2"/>
        <v>#REF!</v>
      </c>
      <c r="G22" s="90">
        <f t="shared" si="1"/>
        <v>2030</v>
      </c>
      <c r="H22" s="49">
        <f t="shared" si="5"/>
        <v>16</v>
      </c>
      <c r="I22" s="49">
        <f t="shared" si="6"/>
        <v>2030</v>
      </c>
      <c r="J22" s="50">
        <f>'Misc Curr Schd w2016Loss &amp; DC'!Y31+'Safety Curr ScheduleOLD'!O31</f>
        <v>198298501.0468739</v>
      </c>
      <c r="K22" s="38" t="e">
        <f>'Misc Curr Schd w2016Loss &amp; DC'!#REF!+'Safety Curr ScheduleOLD'!#REF!</f>
        <v>#REF!</v>
      </c>
      <c r="L22" s="93" t="e">
        <f t="shared" si="0"/>
        <v>#REF!</v>
      </c>
    </row>
    <row r="23" spans="1:12" x14ac:dyDescent="0.25">
      <c r="A23" s="49">
        <f t="shared" si="3"/>
        <v>17</v>
      </c>
      <c r="B23" s="49">
        <f t="shared" si="4"/>
        <v>2032</v>
      </c>
      <c r="C23" s="50">
        <f>'Misc Curr Schd w2016Loss &amp; DC'!AA32+'Safety Curr ScheduleOLD'!Q32</f>
        <v>37812809.747085258</v>
      </c>
      <c r="D23" s="5" t="e">
        <f>'Misc Curr Schd w2016Loss &amp; DC'!#REF!+'Safety Curr ScheduleOLD'!A32</f>
        <v>#REF!</v>
      </c>
      <c r="E23" s="5" t="e">
        <f t="shared" si="2"/>
        <v>#REF!</v>
      </c>
      <c r="G23" s="90">
        <f t="shared" si="1"/>
        <v>2031</v>
      </c>
      <c r="H23" s="49">
        <f t="shared" si="5"/>
        <v>17</v>
      </c>
      <c r="I23" s="49">
        <f t="shared" si="6"/>
        <v>2031</v>
      </c>
      <c r="J23" s="50">
        <f>'Misc Curr Schd w2016Loss &amp; DC'!Y32+'Safety Curr ScheduleOLD'!O32</f>
        <v>174905729.04425448</v>
      </c>
      <c r="K23" s="38" t="e">
        <f>'Misc Curr Schd w2016Loss &amp; DC'!#REF!+'Safety Curr ScheduleOLD'!#REF!</f>
        <v>#REF!</v>
      </c>
      <c r="L23" s="93" t="e">
        <f t="shared" si="0"/>
        <v>#REF!</v>
      </c>
    </row>
    <row r="24" spans="1:12" x14ac:dyDescent="0.25">
      <c r="A24" s="49">
        <f t="shared" si="3"/>
        <v>18</v>
      </c>
      <c r="B24" s="49">
        <f t="shared" si="4"/>
        <v>2033</v>
      </c>
      <c r="C24" s="50">
        <f>'Misc Curr Schd w2016Loss &amp; DC'!AA33+'Safety Curr ScheduleOLD'!Q33</f>
        <v>22946158.190498807</v>
      </c>
      <c r="D24" s="5" t="e">
        <f>'Misc Curr Schd w2016Loss &amp; DC'!#REF!+'Safety Curr ScheduleOLD'!A33</f>
        <v>#REF!</v>
      </c>
      <c r="E24" s="5" t="e">
        <f t="shared" si="2"/>
        <v>#REF!</v>
      </c>
      <c r="G24" s="90">
        <f t="shared" si="1"/>
        <v>2032</v>
      </c>
      <c r="H24" s="49">
        <f t="shared" si="5"/>
        <v>18</v>
      </c>
      <c r="I24" s="49">
        <f t="shared" si="6"/>
        <v>2032</v>
      </c>
      <c r="J24" s="50">
        <f>'Misc Curr Schd w2016Loss &amp; DC'!Y33+'Safety Curr ScheduleOLD'!O33</f>
        <v>148696296.9325797</v>
      </c>
      <c r="K24" s="38" t="e">
        <f>'Misc Curr Schd w2016Loss &amp; DC'!#REF!+'Safety Curr ScheduleOLD'!#REF!</f>
        <v>#REF!</v>
      </c>
      <c r="L24" s="93" t="e">
        <f t="shared" si="0"/>
        <v>#REF!</v>
      </c>
    </row>
    <row r="25" spans="1:12" x14ac:dyDescent="0.25">
      <c r="A25" s="49">
        <f t="shared" si="3"/>
        <v>19</v>
      </c>
      <c r="B25" s="49">
        <f t="shared" si="4"/>
        <v>2034</v>
      </c>
      <c r="C25" s="50">
        <f>'Misc Curr Schd w2016Loss &amp; DC'!AA34+'Safety Curr ScheduleOLD'!Q34</f>
        <v>23280635.052922226</v>
      </c>
      <c r="D25" s="5" t="e">
        <f>'Misc Curr Schd w2016Loss &amp; DC'!#REF!+'Safety Curr ScheduleOLD'!A34</f>
        <v>#REF!</v>
      </c>
      <c r="E25" s="5" t="e">
        <f t="shared" si="2"/>
        <v>#REF!</v>
      </c>
      <c r="G25" s="90">
        <f t="shared" si="1"/>
        <v>2033</v>
      </c>
      <c r="H25" s="49">
        <f t="shared" si="5"/>
        <v>19</v>
      </c>
      <c r="I25" s="49">
        <f t="shared" si="6"/>
        <v>2033</v>
      </c>
      <c r="J25" s="50">
        <f>'Misc Curr Schd w2016Loss &amp; DC'!Y34+'Safety Curr ScheduleOLD'!O34</f>
        <v>135984692.00090271</v>
      </c>
      <c r="K25" s="38" t="e">
        <f>'Misc Curr Schd w2016Loss &amp; DC'!#REF!+'Safety Curr ScheduleOLD'!#REF!</f>
        <v>#REF!</v>
      </c>
      <c r="L25" s="93" t="e">
        <f t="shared" si="0"/>
        <v>#REF!</v>
      </c>
    </row>
    <row r="26" spans="1:12" x14ac:dyDescent="0.25">
      <c r="A26" s="49">
        <f t="shared" si="3"/>
        <v>20</v>
      </c>
      <c r="B26" s="49">
        <f t="shared" si="4"/>
        <v>2035</v>
      </c>
      <c r="C26" s="50">
        <f>'Misc Curr Schd w2016Loss &amp; DC'!AA35+'Safety Curr ScheduleOLD'!Q35</f>
        <v>23232329.902612362</v>
      </c>
      <c r="D26" s="94">
        <v>0</v>
      </c>
      <c r="E26" s="5">
        <f t="shared" si="2"/>
        <v>-23232329.902612362</v>
      </c>
      <c r="G26" s="90">
        <f t="shared" si="1"/>
        <v>2034</v>
      </c>
      <c r="H26" s="49">
        <f t="shared" si="5"/>
        <v>20</v>
      </c>
      <c r="I26" s="49">
        <f t="shared" si="6"/>
        <v>2034</v>
      </c>
      <c r="J26" s="50">
        <f>'Misc Curr Schd w2016Loss &amp; DC'!Y35+'Safety Curr ScheduleOLD'!O35</f>
        <v>121985307.17065348</v>
      </c>
      <c r="K26" s="38" t="e">
        <f>'Misc Curr Schd w2016Loss &amp; DC'!#REF!+'Safety Curr ScheduleOLD'!#REF!</f>
        <v>#REF!</v>
      </c>
      <c r="L26" s="93" t="e">
        <f t="shared" si="0"/>
        <v>#REF!</v>
      </c>
    </row>
    <row r="27" spans="1:12" x14ac:dyDescent="0.25">
      <c r="A27" s="49">
        <f t="shared" si="3"/>
        <v>21</v>
      </c>
      <c r="B27" s="49">
        <f t="shared" si="4"/>
        <v>2036</v>
      </c>
      <c r="C27" s="50">
        <f>'Misc Curr Schd w2016Loss &amp; DC'!AA36+'Safety Curr ScheduleOLD'!Q36</f>
        <v>23160173.871736262</v>
      </c>
      <c r="D27" s="94">
        <v>0</v>
      </c>
      <c r="E27" s="5">
        <f t="shared" si="2"/>
        <v>-23160173.871736262</v>
      </c>
      <c r="G27" s="90">
        <f t="shared" si="1"/>
        <v>2035</v>
      </c>
      <c r="H27" s="49">
        <f t="shared" si="5"/>
        <v>21</v>
      </c>
      <c r="I27" s="49">
        <f t="shared" si="6"/>
        <v>2035</v>
      </c>
      <c r="J27" s="50">
        <f>'Misc Curr Schd w2016Loss &amp; DC'!Y36+'Safety Curr ScheduleOLD'!O36</f>
        <v>106997108.00611083</v>
      </c>
      <c r="K27" s="38" t="e">
        <f>'Misc Curr Schd w2016Loss &amp; DC'!#REF!+'Safety Curr ScheduleOLD'!#REF!</f>
        <v>#REF!</v>
      </c>
      <c r="L27" s="93" t="e">
        <f t="shared" si="0"/>
        <v>#REF!</v>
      </c>
    </row>
    <row r="28" spans="1:12" x14ac:dyDescent="0.25">
      <c r="A28" s="49">
        <f t="shared" si="3"/>
        <v>22</v>
      </c>
      <c r="B28" s="49">
        <f t="shared" si="4"/>
        <v>2037</v>
      </c>
      <c r="C28" s="50">
        <f>'Misc Curr Schd w2016Loss &amp; DC'!AA37+'Safety Curr ScheduleOLD'!Q37</f>
        <v>22867798.666718423</v>
      </c>
      <c r="D28" s="5"/>
      <c r="E28" s="5">
        <f t="shared" si="2"/>
        <v>-22867798.666718423</v>
      </c>
      <c r="G28" s="90">
        <f t="shared" si="1"/>
        <v>2036</v>
      </c>
      <c r="H28" s="49">
        <f t="shared" si="5"/>
        <v>22</v>
      </c>
      <c r="I28" s="49">
        <f t="shared" si="6"/>
        <v>2036</v>
      </c>
      <c r="J28" s="50">
        <f>'Misc Curr Schd w2016Loss &amp; DC'!Y37+'Safety Curr ScheduleOLD'!O37</f>
        <v>90779609.921494007</v>
      </c>
      <c r="K28" s="5"/>
      <c r="L28" s="93">
        <f t="shared" si="0"/>
        <v>90779609.921494007</v>
      </c>
    </row>
    <row r="29" spans="1:12" x14ac:dyDescent="0.25">
      <c r="A29" s="49">
        <f t="shared" si="3"/>
        <v>23</v>
      </c>
      <c r="B29" s="49">
        <f t="shared" si="4"/>
        <v>2038</v>
      </c>
      <c r="C29" s="50">
        <f>'Misc Curr Schd w2016Loss &amp; DC'!AA38+'Safety Curr ScheduleOLD'!Q38</f>
        <v>23136193.370326173</v>
      </c>
      <c r="D29" s="5"/>
      <c r="E29" s="5">
        <f t="shared" si="2"/>
        <v>-23136193.370326173</v>
      </c>
      <c r="G29" s="90">
        <f t="shared" si="1"/>
        <v>2037</v>
      </c>
      <c r="H29" s="49">
        <f t="shared" si="5"/>
        <v>23</v>
      </c>
      <c r="I29" s="49">
        <f t="shared" si="6"/>
        <v>2037</v>
      </c>
      <c r="J29" s="50">
        <f>'Misc Curr Schd w2016Loss &amp; DC'!Y38+'Safety Curr ScheduleOLD'!O38</f>
        <v>73843454.988354057</v>
      </c>
      <c r="K29" s="5"/>
      <c r="L29" s="93">
        <f t="shared" si="0"/>
        <v>73843454.988354057</v>
      </c>
    </row>
    <row r="30" spans="1:12" x14ac:dyDescent="0.25">
      <c r="A30" s="49">
        <f t="shared" si="3"/>
        <v>24</v>
      </c>
      <c r="B30" s="49">
        <f t="shared" si="4"/>
        <v>2039</v>
      </c>
      <c r="C30" s="50">
        <f>'Misc Curr Schd w2016Loss &amp; DC'!AA39+'Safety Curr ScheduleOLD'!Q39</f>
        <v>23400110.737350352</v>
      </c>
      <c r="D30" s="5"/>
      <c r="E30" s="5">
        <f t="shared" si="2"/>
        <v>-23400110.737350352</v>
      </c>
      <c r="G30" s="90">
        <f t="shared" si="1"/>
        <v>2038</v>
      </c>
      <c r="H30" s="49">
        <f t="shared" si="5"/>
        <v>24</v>
      </c>
      <c r="I30" s="49">
        <f t="shared" si="6"/>
        <v>2038</v>
      </c>
      <c r="J30" s="50">
        <f>'Misc Curr Schd w2016Loss &amp; DC'!Y39+'Safety Curr ScheduleOLD'!O39</f>
        <v>55360983.211927831</v>
      </c>
      <c r="K30" s="5"/>
      <c r="L30" s="93">
        <f t="shared" si="0"/>
        <v>55360983.211927831</v>
      </c>
    </row>
    <row r="31" spans="1:12" x14ac:dyDescent="0.25">
      <c r="A31" s="49">
        <f t="shared" si="3"/>
        <v>25</v>
      </c>
      <c r="B31" s="49">
        <f t="shared" si="4"/>
        <v>2040</v>
      </c>
      <c r="C31" s="50">
        <f>'Misc Curr Schd w2016Loss &amp; DC'!AA40+'Safety Curr ScheduleOLD'!Q40</f>
        <v>7923580.9941672236</v>
      </c>
      <c r="D31" s="5"/>
      <c r="E31" s="5">
        <f t="shared" si="2"/>
        <v>-7923580.9941672236</v>
      </c>
      <c r="G31" s="90">
        <f t="shared" si="1"/>
        <v>2039</v>
      </c>
      <c r="H31" s="49">
        <f t="shared" si="5"/>
        <v>25</v>
      </c>
      <c r="I31" s="49">
        <f t="shared" si="6"/>
        <v>2039</v>
      </c>
      <c r="J31" s="50">
        <f>'Misc Curr Schd w2016Loss &amp; DC'!Y40+'Safety Curr ScheduleOLD'!O40</f>
        <v>35219033.597290933</v>
      </c>
      <c r="K31" s="5"/>
      <c r="L31" s="93">
        <f t="shared" si="0"/>
        <v>35219033.597290933</v>
      </c>
    </row>
    <row r="32" spans="1:12" x14ac:dyDescent="0.25">
      <c r="A32" s="49">
        <f t="shared" si="3"/>
        <v>26</v>
      </c>
      <c r="B32" s="49">
        <f t="shared" si="4"/>
        <v>2041</v>
      </c>
      <c r="C32" s="50">
        <f>'Misc Curr Schd w2016Loss &amp; DC'!AA41+'Safety Curr ScheduleOLD'!Q41</f>
        <v>8963023.5683119725</v>
      </c>
      <c r="D32" s="5"/>
      <c r="E32" s="5">
        <f t="shared" si="2"/>
        <v>-8963023.5683119725</v>
      </c>
      <c r="G32" s="90">
        <f t="shared" si="1"/>
        <v>2040</v>
      </c>
      <c r="H32" s="49">
        <f t="shared" si="5"/>
        <v>26</v>
      </c>
      <c r="I32" s="49">
        <f t="shared" si="6"/>
        <v>2040</v>
      </c>
      <c r="J32" s="50">
        <f>'Misc Curr Schd w2016Loss &amp; DC'!Y41+'Safety Curr ScheduleOLD'!O41</f>
        <v>29612177.285751391</v>
      </c>
      <c r="K32" s="5"/>
      <c r="L32" s="93">
        <f t="shared" si="0"/>
        <v>29612177.285751391</v>
      </c>
    </row>
    <row r="33" spans="1:12" x14ac:dyDescent="0.25">
      <c r="A33" s="49">
        <f t="shared" si="3"/>
        <v>27</v>
      </c>
      <c r="B33" s="49">
        <f t="shared" si="4"/>
        <v>2042</v>
      </c>
      <c r="C33" s="50">
        <f>'Misc Curr Schd w2016Loss &amp; DC'!AA42+'Safety Curr ScheduleOLD'!Q42</f>
        <v>8418798.4975870829</v>
      </c>
      <c r="D33" s="5"/>
      <c r="E33" s="5">
        <f t="shared" si="2"/>
        <v>-8418798.4975870829</v>
      </c>
      <c r="G33" s="90">
        <f t="shared" si="1"/>
        <v>2041</v>
      </c>
      <c r="H33" s="49">
        <f t="shared" si="5"/>
        <v>27</v>
      </c>
      <c r="I33" s="49">
        <f t="shared" si="6"/>
        <v>2041</v>
      </c>
      <c r="J33" s="50">
        <f>'Misc Curr Schd w2016Loss &amp; DC'!Y42+'Safety Curr ScheduleOLD'!O42</f>
        <v>22508358.082746468</v>
      </c>
      <c r="K33" s="5"/>
      <c r="L33" s="93">
        <f t="shared" si="0"/>
        <v>22508358.082746468</v>
      </c>
    </row>
    <row r="34" spans="1:12" x14ac:dyDescent="0.25">
      <c r="A34" s="49">
        <f t="shared" si="3"/>
        <v>28</v>
      </c>
      <c r="B34" s="49">
        <f t="shared" si="4"/>
        <v>2043</v>
      </c>
      <c r="C34" s="50">
        <f>'Misc Curr Schd w2016Loss &amp; DC'!AA43+'Safety Curr ScheduleOLD'!Q43</f>
        <v>7252021.9392389338</v>
      </c>
      <c r="D34" s="5"/>
      <c r="E34" s="5">
        <f t="shared" si="2"/>
        <v>-7252021.9392389338</v>
      </c>
      <c r="G34" s="90">
        <f t="shared" si="1"/>
        <v>2042</v>
      </c>
      <c r="H34" s="49">
        <f t="shared" si="5"/>
        <v>28</v>
      </c>
      <c r="I34" s="49">
        <f t="shared" si="6"/>
        <v>2042</v>
      </c>
      <c r="J34" s="50">
        <f>'Misc Curr Schd w2016Loss &amp; DC'!Y43+'Safety Curr ScheduleOLD'!O43</f>
        <v>15440755.327918671</v>
      </c>
      <c r="K34" s="5"/>
      <c r="L34" s="93">
        <f t="shared" si="0"/>
        <v>15440755.327918671</v>
      </c>
    </row>
    <row r="35" spans="1:12" x14ac:dyDescent="0.25">
      <c r="A35" s="49">
        <f t="shared" si="3"/>
        <v>29</v>
      </c>
      <c r="B35" s="49">
        <f t="shared" si="4"/>
        <v>2044</v>
      </c>
      <c r="C35" s="50">
        <f>'Misc Curr Schd w2016Loss &amp; DC'!AA44+'Safety Curr ScheduleOLD'!Q44</f>
        <v>6007661.8687420683</v>
      </c>
      <c r="D35" s="5"/>
      <c r="E35" s="5">
        <f t="shared" si="2"/>
        <v>-6007661.8687420683</v>
      </c>
      <c r="G35" s="90">
        <f t="shared" si="1"/>
        <v>2043</v>
      </c>
      <c r="H35" s="49">
        <f t="shared" si="5"/>
        <v>29</v>
      </c>
      <c r="I35" s="49">
        <f t="shared" si="6"/>
        <v>2043</v>
      </c>
      <c r="J35" s="50">
        <f>'Misc Curr Schd w2016Loss &amp; DC'!Y44+'Safety Curr ScheduleOLD'!O44</f>
        <v>9059215.5176146626</v>
      </c>
      <c r="K35" s="5"/>
      <c r="L35" s="93">
        <f t="shared" si="0"/>
        <v>9059215.5176146626</v>
      </c>
    </row>
    <row r="36" spans="1:12" x14ac:dyDescent="0.25">
      <c r="A36" s="49">
        <f t="shared" si="3"/>
        <v>30</v>
      </c>
      <c r="B36" s="49">
        <f t="shared" si="4"/>
        <v>2045</v>
      </c>
      <c r="C36" s="50">
        <f>'Misc Curr Schd w2016Loss &amp; DC'!AA45+'Safety Curr ScheduleOLD'!Q45</f>
        <v>3025403.1047870666</v>
      </c>
      <c r="D36" s="11"/>
      <c r="E36" s="11">
        <f t="shared" si="2"/>
        <v>-3025403.1047870666</v>
      </c>
      <c r="G36" s="90">
        <f t="shared" si="1"/>
        <v>2044</v>
      </c>
      <c r="H36" s="49">
        <f t="shared" si="5"/>
        <v>30</v>
      </c>
      <c r="I36" s="49">
        <f t="shared" si="6"/>
        <v>2044</v>
      </c>
      <c r="J36" s="50">
        <f>'Misc Curr Schd w2016Loss &amp; DC'!Y45+'Safety Curr ScheduleOLD'!O45</f>
        <v>3495971.4389599678</v>
      </c>
      <c r="K36" s="5"/>
      <c r="L36" s="93">
        <f t="shared" si="0"/>
        <v>3495971.4389599678</v>
      </c>
    </row>
    <row r="37" spans="1:12" x14ac:dyDescent="0.25">
      <c r="A37" s="49"/>
      <c r="G37" s="90">
        <f>G36+1</f>
        <v>2045</v>
      </c>
      <c r="H37" s="49">
        <f>H36+1</f>
        <v>31</v>
      </c>
      <c r="I37" s="49">
        <f>I36+1</f>
        <v>2045</v>
      </c>
      <c r="J37" s="50" t="e">
        <f>'Misc Curr Schd w2016Loss &amp; DC'!#REF!+'Safety Curr ScheduleOLD'!#REF!</f>
        <v>#REF!</v>
      </c>
      <c r="K37" s="5"/>
      <c r="L37" s="93" t="e">
        <f>J37-K37</f>
        <v>#REF!</v>
      </c>
    </row>
    <row r="38" spans="1:12" x14ac:dyDescent="0.25">
      <c r="A38" s="49"/>
      <c r="B38" t="s">
        <v>55</v>
      </c>
      <c r="C38" s="50">
        <f>SUM(C7:C37)</f>
        <v>697969138.6214807</v>
      </c>
      <c r="D38" s="50" t="e">
        <f>SUM(D7:D37)</f>
        <v>#REF!</v>
      </c>
      <c r="E38" s="51" t="e">
        <f>C38-D38</f>
        <v>#REF!</v>
      </c>
      <c r="H38" s="49"/>
      <c r="I38" s="49"/>
      <c r="J38" s="50"/>
      <c r="K38" s="5"/>
      <c r="L38" s="51"/>
    </row>
    <row r="39" spans="1:12" x14ac:dyDescent="0.25">
      <c r="B39" s="79" t="s">
        <v>54</v>
      </c>
      <c r="C39" s="50">
        <f>NPV(0.03,C7:C36)</f>
        <v>477809427.85033387</v>
      </c>
      <c r="D39" s="50" t="e">
        <f>NPV(0.03,D7:D36)</f>
        <v>#REF!</v>
      </c>
      <c r="E39" s="51" t="e">
        <f>C39-D39</f>
        <v>#REF!</v>
      </c>
      <c r="H39" s="49"/>
      <c r="I39" s="79"/>
      <c r="J39" s="50"/>
      <c r="K39" s="5"/>
      <c r="L39" s="51"/>
    </row>
  </sheetData>
  <mergeCells count="2">
    <mergeCell ref="A2:E2"/>
    <mergeCell ref="H2:L2"/>
  </mergeCells>
  <hyperlinks>
    <hyperlink ref="B39" r:id="rId1"/>
  </hyperlinks>
  <pageMargins left="0.7" right="0.7" top="0.75" bottom="0.75" header="0.3" footer="0.3"/>
  <pageSetup paperSize="3" scale="76"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sqref="A1:D11"/>
    </sheetView>
  </sheetViews>
  <sheetFormatPr defaultRowHeight="15" x14ac:dyDescent="0.25"/>
  <cols>
    <col min="1" max="1" width="51.42578125" bestFit="1" customWidth="1"/>
    <col min="2" max="5" width="12.85546875" bestFit="1" customWidth="1"/>
    <col min="6" max="6" width="12" bestFit="1" customWidth="1"/>
  </cols>
  <sheetData>
    <row r="1" spans="1:6" x14ac:dyDescent="0.25">
      <c r="A1" t="s">
        <v>74</v>
      </c>
    </row>
    <row r="3" spans="1:6" x14ac:dyDescent="0.25">
      <c r="A3" t="s">
        <v>67</v>
      </c>
      <c r="B3" s="97" t="s">
        <v>30</v>
      </c>
      <c r="C3" t="s">
        <v>31</v>
      </c>
    </row>
    <row r="4" spans="1:6" x14ac:dyDescent="0.25">
      <c r="A4" t="s">
        <v>69</v>
      </c>
      <c r="B4" s="99">
        <v>122667031</v>
      </c>
      <c r="C4" s="48">
        <v>103621859</v>
      </c>
      <c r="D4" s="48">
        <f>SUM(B4:C4)</f>
        <v>226288890</v>
      </c>
      <c r="E4" s="48"/>
      <c r="F4" s="105"/>
    </row>
    <row r="5" spans="1:6" x14ac:dyDescent="0.25">
      <c r="A5" t="s">
        <v>70</v>
      </c>
      <c r="B5" s="100">
        <v>11038358</v>
      </c>
      <c r="C5" s="95">
        <v>6922065</v>
      </c>
      <c r="D5" s="48">
        <f>SUM(B5:C5)</f>
        <v>17960423</v>
      </c>
      <c r="F5" s="105"/>
    </row>
    <row r="6" spans="1:6" x14ac:dyDescent="0.25">
      <c r="A6" t="s">
        <v>71</v>
      </c>
      <c r="B6" s="100">
        <v>11951694</v>
      </c>
      <c r="C6" s="95">
        <v>3472891</v>
      </c>
      <c r="D6" s="48">
        <f>SUM(B6:C6)</f>
        <v>15424585</v>
      </c>
      <c r="F6" s="105"/>
    </row>
    <row r="7" spans="1:6" x14ac:dyDescent="0.25">
      <c r="A7" t="s">
        <v>73</v>
      </c>
      <c r="B7" s="100">
        <v>171199572</v>
      </c>
      <c r="C7" s="95">
        <v>323671316</v>
      </c>
      <c r="D7" s="48">
        <f>SUM(B7:C7)</f>
        <v>494870888</v>
      </c>
      <c r="E7" s="48"/>
      <c r="F7" s="105"/>
    </row>
    <row r="8" spans="1:6" x14ac:dyDescent="0.25">
      <c r="A8" t="s">
        <v>72</v>
      </c>
      <c r="B8" s="99">
        <f>SUM(B4:B7)</f>
        <v>316856655</v>
      </c>
      <c r="C8" s="48">
        <v>437688131</v>
      </c>
      <c r="D8" s="48">
        <f>SUM(B8:C8)</f>
        <v>754544786</v>
      </c>
      <c r="E8" s="48"/>
      <c r="F8" s="105"/>
    </row>
    <row r="9" spans="1:6" x14ac:dyDescent="0.25">
      <c r="A9" t="s">
        <v>68</v>
      </c>
    </row>
    <row r="10" spans="1:6" x14ac:dyDescent="0.25">
      <c r="A10" s="106" t="s">
        <v>75</v>
      </c>
      <c r="B10" s="96">
        <f>B4/B8</f>
        <v>0.38713730345982478</v>
      </c>
      <c r="C10" s="96">
        <f>C4/C8</f>
        <v>0.2367481584735959</v>
      </c>
      <c r="D10" s="96">
        <f>D4/D8</f>
        <v>0.29990120427391037</v>
      </c>
    </row>
    <row r="11" spans="1:6" x14ac:dyDescent="0.25">
      <c r="A11" s="107" t="s">
        <v>76</v>
      </c>
      <c r="B11" s="96">
        <f>1-B10</f>
        <v>0.61286269654017522</v>
      </c>
      <c r="C11" s="96">
        <f>1-C10</f>
        <v>0.76325184152640413</v>
      </c>
      <c r="D11" s="96">
        <f>1-D10</f>
        <v>0.70009879572608957</v>
      </c>
    </row>
    <row r="12" spans="1:6" x14ac:dyDescent="0.25">
      <c r="B12" t="s">
        <v>68</v>
      </c>
    </row>
    <row r="13" spans="1:6" x14ac:dyDescent="0.25">
      <c r="C13" t="s">
        <v>68</v>
      </c>
    </row>
    <row r="14" spans="1:6" x14ac:dyDescent="0.25">
      <c r="C14" t="s">
        <v>68</v>
      </c>
    </row>
    <row r="15" spans="1:6" x14ac:dyDescent="0.25">
      <c r="C15" t="s">
        <v>68</v>
      </c>
    </row>
    <row r="16" spans="1:6" x14ac:dyDescent="0.25">
      <c r="C16" t="s">
        <v>68</v>
      </c>
    </row>
    <row r="17" spans="2:3" x14ac:dyDescent="0.25">
      <c r="C17" t="s">
        <v>68</v>
      </c>
    </row>
    <row r="19" spans="2:3" s="49" customFormat="1" x14ac:dyDescent="0.25"/>
    <row r="20" spans="2:3" s="49" customFormat="1" x14ac:dyDescent="0.25">
      <c r="B20" s="102"/>
      <c r="C20" s="101"/>
    </row>
    <row r="21" spans="2:3" x14ac:dyDescent="0.25">
      <c r="B21" s="98"/>
      <c r="C21" s="96"/>
    </row>
    <row r="22" spans="2:3" x14ac:dyDescent="0.25">
      <c r="B22" s="98"/>
      <c r="C22" s="9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workbookViewId="0">
      <selection activeCell="O9" sqref="O9"/>
    </sheetView>
  </sheetViews>
  <sheetFormatPr defaultRowHeight="15"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70"/>
  <sheetViews>
    <sheetView topLeftCell="G1" zoomScaleNormal="100" workbookViewId="0">
      <selection activeCell="Q13" sqref="Q13:S13"/>
    </sheetView>
  </sheetViews>
  <sheetFormatPr defaultColWidth="9.140625" defaultRowHeight="15" x14ac:dyDescent="0.25"/>
  <cols>
    <col min="1" max="1" width="5" style="49" bestFit="1" customWidth="1"/>
    <col min="2" max="3" width="13.7109375" style="49" hidden="1" customWidth="1"/>
    <col min="4" max="4" width="14.5703125" style="49" bestFit="1" customWidth="1"/>
    <col min="5" max="5" width="10.140625" style="49" customWidth="1"/>
    <col min="6" max="6" width="16.140625" style="49" customWidth="1"/>
    <col min="7" max="7" width="16.5703125" style="49" customWidth="1"/>
    <col min="8" max="8" width="6.28515625" style="49" customWidth="1"/>
    <col min="9" max="9" width="15.5703125" style="49" bestFit="1" customWidth="1"/>
    <col min="10" max="10" width="12.28515625" style="49" hidden="1" customWidth="1"/>
    <col min="11" max="11" width="6.28515625" style="49" hidden="1" customWidth="1"/>
    <col min="12" max="12" width="11.28515625" style="49" hidden="1" customWidth="1"/>
    <col min="13" max="13" width="14.85546875" style="49" hidden="1" customWidth="1"/>
    <col min="14" max="14" width="8.7109375" style="49" hidden="1" customWidth="1"/>
    <col min="15" max="15" width="14.5703125" style="49" hidden="1" customWidth="1"/>
    <col min="16" max="16" width="12.5703125" style="49" hidden="1" customWidth="1"/>
    <col min="17" max="17" width="16.42578125" style="49" bestFit="1" customWidth="1"/>
    <col min="18" max="18" width="12.5703125" style="49" customWidth="1"/>
    <col min="19" max="19" width="15.5703125" style="49" bestFit="1" customWidth="1"/>
    <col min="20" max="20" width="14.5703125" style="49" bestFit="1" customWidth="1"/>
    <col min="21" max="23" width="9.42578125" style="49" customWidth="1"/>
    <col min="24" max="25" width="14.5703125" style="49" bestFit="1" customWidth="1"/>
    <col min="26" max="26" width="6.28515625" style="49" customWidth="1"/>
    <col min="27" max="27" width="13.85546875" style="49" bestFit="1" customWidth="1"/>
    <col min="28" max="28" width="14.85546875" style="49" customWidth="1"/>
    <col min="29" max="29" width="9.140625" style="49" customWidth="1"/>
    <col min="30" max="30" width="14.5703125" style="49" customWidth="1"/>
    <col min="31" max="31" width="14.28515625" style="73" bestFit="1" customWidth="1"/>
    <col min="32" max="32" width="11.5703125" style="49" bestFit="1" customWidth="1"/>
    <col min="33" max="37" width="9.140625" style="49"/>
    <col min="38" max="38" width="4.85546875" style="49" customWidth="1"/>
    <col min="39" max="40" width="9.140625" style="49"/>
    <col min="41" max="41" width="12.5703125" style="215" bestFit="1" customWidth="1"/>
    <col min="42" max="16384" width="9.140625" style="49"/>
  </cols>
  <sheetData>
    <row r="1" spans="1:41" ht="23.25" x14ac:dyDescent="0.35">
      <c r="A1" s="547" t="s">
        <v>68</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row>
    <row r="2" spans="1:41" x14ac:dyDescent="0.25">
      <c r="A2" s="347"/>
      <c r="B2" s="347"/>
      <c r="C2" s="347"/>
      <c r="D2" s="347"/>
      <c r="E2" s="347"/>
      <c r="F2" s="347"/>
      <c r="G2" s="347"/>
      <c r="H2" s="347"/>
      <c r="I2" s="347"/>
      <c r="J2" s="347"/>
      <c r="K2" s="347"/>
      <c r="L2" s="347"/>
      <c r="Q2" s="98"/>
      <c r="T2" s="347"/>
      <c r="U2" s="347"/>
      <c r="V2" s="347"/>
      <c r="W2" s="347"/>
      <c r="X2" s="347"/>
      <c r="Y2" s="347"/>
      <c r="Z2" s="347"/>
      <c r="AA2" s="347"/>
      <c r="AB2" s="347"/>
      <c r="AC2" s="347"/>
      <c r="AD2" s="347"/>
    </row>
    <row r="3" spans="1:41" ht="11.25" customHeight="1" thickBot="1" x14ac:dyDescent="0.3"/>
    <row r="4" spans="1:41" ht="16.5" thickTop="1" thickBot="1" x14ac:dyDescent="0.3">
      <c r="D4" s="246" t="s">
        <v>141</v>
      </c>
      <c r="E4" s="244">
        <v>7.4999999999999997E-2</v>
      </c>
      <c r="M4" s="246" t="s">
        <v>141</v>
      </c>
      <c r="N4" s="244">
        <v>7.4999999999999997E-2</v>
      </c>
      <c r="T4" s="246" t="s">
        <v>141</v>
      </c>
      <c r="U4" s="244">
        <v>7.4999999999999997E-2</v>
      </c>
      <c r="AE4" s="49"/>
    </row>
    <row r="5" spans="1:41" ht="16.5" thickTop="1" thickBot="1" x14ac:dyDescent="0.3">
      <c r="D5" s="247" t="s">
        <v>142</v>
      </c>
      <c r="E5" s="244">
        <v>0.03</v>
      </c>
      <c r="M5" s="247" t="s">
        <v>142</v>
      </c>
      <c r="N5" s="244">
        <v>0.03</v>
      </c>
      <c r="T5" s="247" t="s">
        <v>142</v>
      </c>
      <c r="U5" s="244">
        <v>0.03</v>
      </c>
      <c r="AE5" s="49"/>
    </row>
    <row r="6" spans="1:41" ht="15.75" thickTop="1" x14ac:dyDescent="0.25">
      <c r="D6" s="248"/>
      <c r="E6" s="250"/>
      <c r="M6" s="248"/>
      <c r="N6" s="250"/>
      <c r="T6" s="248"/>
      <c r="U6" s="250"/>
    </row>
    <row r="7" spans="1:41" x14ac:dyDescent="0.25">
      <c r="D7" s="248" t="s">
        <v>143</v>
      </c>
      <c r="E7" s="348">
        <v>5</v>
      </c>
      <c r="M7" s="248" t="s">
        <v>143</v>
      </c>
      <c r="N7" s="250">
        <v>5</v>
      </c>
      <c r="T7" s="248" t="s">
        <v>143</v>
      </c>
      <c r="U7" s="348">
        <v>5</v>
      </c>
      <c r="Y7" s="349"/>
      <c r="Z7" s="349"/>
      <c r="AA7" s="349"/>
      <c r="AB7" s="349"/>
      <c r="AC7" s="349"/>
      <c r="AD7" s="349"/>
      <c r="AF7" s="538" t="s">
        <v>131</v>
      </c>
      <c r="AG7" s="538"/>
      <c r="AH7" s="538"/>
      <c r="AI7" s="538"/>
      <c r="AJ7" s="538"/>
      <c r="AK7" s="538"/>
    </row>
    <row r="8" spans="1:41" x14ac:dyDescent="0.25">
      <c r="D8" s="248" t="s">
        <v>144</v>
      </c>
      <c r="E8" s="350">
        <f>E15+1-E7</f>
        <v>26</v>
      </c>
      <c r="M8" s="248" t="s">
        <v>144</v>
      </c>
      <c r="N8" s="251">
        <f>N15+1-N7</f>
        <v>16</v>
      </c>
      <c r="T8" s="248" t="s">
        <v>144</v>
      </c>
      <c r="U8" s="350">
        <f>U15+1-U7</f>
        <v>16</v>
      </c>
      <c r="Y8" s="349"/>
      <c r="Z8" s="349"/>
      <c r="AA8" s="349"/>
      <c r="AB8" s="349"/>
      <c r="AC8" s="349"/>
      <c r="AD8" s="349"/>
    </row>
    <row r="9" spans="1:41" x14ac:dyDescent="0.25">
      <c r="D9" s="248" t="s">
        <v>145</v>
      </c>
      <c r="E9" s="351">
        <f>1/(-PMT((1+E4)/(1+E5)-1,E7,1,0,1))</f>
        <v>4.5985546446254109</v>
      </c>
      <c r="M9" s="248" t="s">
        <v>145</v>
      </c>
      <c r="N9" s="252">
        <f>1/(-PMT((1+N4)/(1+N5)-1,N7,1,0,1))</f>
        <v>4.5985546446254109</v>
      </c>
      <c r="T9" s="248" t="s">
        <v>145</v>
      </c>
      <c r="U9" s="351">
        <f>1/(-PMT((1+U4)/(1+U5)-1,U7,1,0,1))</f>
        <v>4.5985546446254109</v>
      </c>
      <c r="Y9" s="349"/>
      <c r="Z9" s="349"/>
      <c r="AA9" s="349"/>
      <c r="AB9" s="349"/>
      <c r="AC9" s="349"/>
      <c r="AD9" s="349"/>
    </row>
    <row r="10" spans="1:41" x14ac:dyDescent="0.25">
      <c r="D10" s="248" t="s">
        <v>146</v>
      </c>
      <c r="E10" s="351">
        <f>1/(-PMT((1+E4)/(1+E5)-1,E8,1,0,1)*(1+E4)^0.5)</f>
        <v>15.461009016959615</v>
      </c>
      <c r="G10" s="1"/>
      <c r="M10" s="248" t="s">
        <v>146</v>
      </c>
      <c r="N10" s="252">
        <f>1/(-PMT((1+N4)/(1+N5)-1,N8,1,0,1)*(1+N4)^0.5)</f>
        <v>11.416589843334782</v>
      </c>
      <c r="T10" s="248" t="s">
        <v>146</v>
      </c>
      <c r="U10" s="351">
        <f>1/(-PMT((1+U4)/(1+U5)-1,U8,1,0,1)*(1+U4)^0.5)</f>
        <v>11.416589843334782</v>
      </c>
      <c r="Y10" s="349"/>
      <c r="Z10" s="349"/>
      <c r="AA10" s="349"/>
      <c r="AB10" s="349"/>
      <c r="AC10" s="349"/>
      <c r="AD10" s="349"/>
    </row>
    <row r="11" spans="1:41" ht="15" hidden="1" customHeight="1" x14ac:dyDescent="0.25">
      <c r="D11" s="571" t="s">
        <v>169</v>
      </c>
      <c r="E11" s="572"/>
      <c r="F11" s="573"/>
      <c r="G11" s="571" t="s">
        <v>170</v>
      </c>
      <c r="H11" s="572"/>
      <c r="I11" s="573"/>
      <c r="J11" s="352"/>
      <c r="K11" s="352"/>
      <c r="L11" s="352"/>
      <c r="M11" s="571" t="s">
        <v>171</v>
      </c>
      <c r="N11" s="572"/>
      <c r="O11" s="573"/>
      <c r="P11" s="353"/>
      <c r="Q11" s="353"/>
      <c r="R11" s="353"/>
      <c r="S11" s="353"/>
      <c r="T11" s="574" t="s">
        <v>172</v>
      </c>
      <c r="U11" s="575"/>
      <c r="V11" s="575"/>
      <c r="W11" s="575"/>
      <c r="X11" s="575"/>
      <c r="Y11" s="86"/>
      <c r="Z11" s="86"/>
      <c r="AA11" s="86"/>
      <c r="AB11" s="349"/>
      <c r="AC11" s="349"/>
      <c r="AD11" s="349"/>
    </row>
    <row r="12" spans="1:41" ht="18.75" x14ac:dyDescent="0.3">
      <c r="B12" s="338"/>
      <c r="C12" s="338"/>
      <c r="D12" s="354"/>
      <c r="E12" s="355"/>
      <c r="F12" s="355"/>
      <c r="G12" s="356" t="s">
        <v>173</v>
      </c>
      <c r="H12" s="355"/>
      <c r="I12" s="355"/>
      <c r="J12" s="355"/>
      <c r="K12" s="355"/>
      <c r="L12" s="355"/>
      <c r="M12" s="355"/>
      <c r="N12" s="355"/>
      <c r="O12" s="355"/>
      <c r="P12" s="355"/>
      <c r="Q12" s="355"/>
      <c r="R12" s="355"/>
      <c r="S12" s="357"/>
      <c r="T12" s="554" t="s">
        <v>174</v>
      </c>
      <c r="U12" s="555"/>
      <c r="V12" s="555"/>
      <c r="W12" s="555"/>
      <c r="X12" s="555"/>
      <c r="Y12" s="555"/>
      <c r="Z12" s="555"/>
      <c r="AA12" s="555"/>
      <c r="AB12" s="555"/>
      <c r="AC12" s="555"/>
      <c r="AD12" s="556"/>
    </row>
    <row r="13" spans="1:41" x14ac:dyDescent="0.25">
      <c r="B13" s="108"/>
      <c r="C13" s="108"/>
      <c r="D13" s="557" t="s">
        <v>175</v>
      </c>
      <c r="E13" s="558"/>
      <c r="F13" s="559"/>
      <c r="G13" s="560" t="s">
        <v>176</v>
      </c>
      <c r="H13" s="561"/>
      <c r="I13" s="562"/>
      <c r="J13" s="563" t="s">
        <v>177</v>
      </c>
      <c r="K13" s="564"/>
      <c r="L13" s="564"/>
      <c r="M13" s="557" t="s">
        <v>178</v>
      </c>
      <c r="N13" s="558"/>
      <c r="O13" s="559"/>
      <c r="P13" s="360" t="s">
        <v>179</v>
      </c>
      <c r="Q13" s="560" t="s">
        <v>180</v>
      </c>
      <c r="R13" s="561"/>
      <c r="S13" s="561"/>
      <c r="T13" s="565" t="s">
        <v>181</v>
      </c>
      <c r="U13" s="566"/>
      <c r="V13" s="566"/>
      <c r="W13" s="566"/>
      <c r="X13" s="567"/>
      <c r="Y13" s="568" t="s">
        <v>182</v>
      </c>
      <c r="Z13" s="569"/>
      <c r="AA13" s="569"/>
      <c r="AB13" s="568" t="s">
        <v>183</v>
      </c>
      <c r="AC13" s="569"/>
      <c r="AD13" s="570"/>
    </row>
    <row r="14" spans="1:41" ht="15.75" thickBot="1" x14ac:dyDescent="0.3">
      <c r="B14" s="88"/>
      <c r="C14" s="88"/>
      <c r="D14" s="77" t="s">
        <v>49</v>
      </c>
      <c r="E14" s="78" t="s">
        <v>50</v>
      </c>
      <c r="F14" s="78" t="s">
        <v>51</v>
      </c>
      <c r="G14" s="74" t="s">
        <v>49</v>
      </c>
      <c r="H14" s="75" t="s">
        <v>50</v>
      </c>
      <c r="I14" s="76" t="s">
        <v>51</v>
      </c>
      <c r="J14" s="74" t="s">
        <v>49</v>
      </c>
      <c r="K14" s="75" t="s">
        <v>50</v>
      </c>
      <c r="L14" s="76" t="s">
        <v>51</v>
      </c>
      <c r="M14" s="77" t="s">
        <v>49</v>
      </c>
      <c r="N14" s="78" t="s">
        <v>50</v>
      </c>
      <c r="O14" s="78" t="s">
        <v>51</v>
      </c>
      <c r="P14" s="77"/>
      <c r="Q14" s="74" t="s">
        <v>49</v>
      </c>
      <c r="R14" s="75" t="s">
        <v>50</v>
      </c>
      <c r="S14" s="76" t="s">
        <v>51</v>
      </c>
      <c r="T14" s="74" t="s">
        <v>49</v>
      </c>
      <c r="U14" s="75" t="s">
        <v>50</v>
      </c>
      <c r="V14" s="75"/>
      <c r="W14" s="75"/>
      <c r="X14" s="76" t="s">
        <v>51</v>
      </c>
      <c r="Y14" s="74" t="s">
        <v>49</v>
      </c>
      <c r="Z14" s="75" t="s">
        <v>50</v>
      </c>
      <c r="AA14" s="75" t="s">
        <v>51</v>
      </c>
      <c r="AB14" s="74" t="s">
        <v>49</v>
      </c>
      <c r="AC14" s="75" t="s">
        <v>50</v>
      </c>
      <c r="AD14" s="76" t="s">
        <v>51</v>
      </c>
    </row>
    <row r="15" spans="1:41" ht="16.5" thickTop="1" thickBot="1" x14ac:dyDescent="0.3">
      <c r="A15" s="49">
        <v>1</v>
      </c>
      <c r="B15" s="56"/>
      <c r="C15" s="56"/>
      <c r="D15" s="200">
        <v>100000000</v>
      </c>
      <c r="E15" s="245">
        <v>30</v>
      </c>
      <c r="F15" s="56">
        <f>IF(E15&gt;0,-PMT((1+E4)/(1+E5)-1,E8,D15,0,1)*((1+E4)^0.5)/E9,0)</f>
        <v>1406503.4927403762</v>
      </c>
      <c r="G15" s="200">
        <f>D15</f>
        <v>100000000</v>
      </c>
      <c r="H15" s="245">
        <v>30</v>
      </c>
      <c r="I15" s="56">
        <f>-PMT(1.075/1.03-1,H15,G15*1.075^0.5,0,1)</f>
        <v>6005052.7703359239</v>
      </c>
      <c r="J15" s="54">
        <v>0</v>
      </c>
      <c r="K15" s="63">
        <v>29</v>
      </c>
      <c r="L15" s="55">
        <f>-PMT(1.075/1.03-1,K15,J15*1.075^0.5,0,1)</f>
        <v>0</v>
      </c>
      <c r="M15" s="200">
        <f>G15</f>
        <v>100000000</v>
      </c>
      <c r="N15" s="245">
        <v>20</v>
      </c>
      <c r="O15" s="56">
        <f>IF(N15&gt;0,-PMT((1+N4)/(1+N5)-1,N8,M15,0,1)*((1+N4)^0.5)/N9,0)</f>
        <v>1904768.7165830741</v>
      </c>
      <c r="P15" s="54">
        <f t="shared" ref="P15:P44" si="0">I15-F15</f>
        <v>4598549.277595548</v>
      </c>
      <c r="Q15" s="200">
        <f>G15</f>
        <v>100000000</v>
      </c>
      <c r="R15" s="245">
        <v>30</v>
      </c>
      <c r="S15" s="56">
        <f>-PMT(1.075-1,R15,Q15*1.075^0.5,0,1)</f>
        <v>8166419.1386485882</v>
      </c>
      <c r="T15" s="200">
        <f>Q15</f>
        <v>100000000</v>
      </c>
      <c r="U15" s="245">
        <v>20</v>
      </c>
      <c r="V15" s="274"/>
      <c r="W15" s="274"/>
      <c r="X15" s="56">
        <f>IF(U15&gt;0,-PMT((1+U4)/(1+U5)-1,U8,T15,0,1)*((1+U4)^0.5)/U9,0)</f>
        <v>1904768.7165830741</v>
      </c>
      <c r="Y15" s="293">
        <f>T15</f>
        <v>100000000</v>
      </c>
      <c r="Z15" s="245">
        <v>20</v>
      </c>
      <c r="AA15" s="56">
        <f>-PMT(1.075/1.03-1,Z15,Y15*1.075^0.5,0,1)</f>
        <v>7550542.7849290818</v>
      </c>
      <c r="AB15" s="293">
        <f>Y15</f>
        <v>100000000</v>
      </c>
      <c r="AC15" s="245">
        <v>20</v>
      </c>
      <c r="AD15" s="55">
        <f>-PMT(1.075-1,AC15,AB15*1.075^0.5,0,1)</f>
        <v>9460851.0651312713</v>
      </c>
      <c r="AO15" s="216">
        <v>500000</v>
      </c>
    </row>
    <row r="16" spans="1:41" ht="15.75" thickTop="1" x14ac:dyDescent="0.25">
      <c r="A16" s="49">
        <f t="shared" ref="A16:A44" si="1">A15+1</f>
        <v>2</v>
      </c>
      <c r="B16" s="56"/>
      <c r="C16" s="56"/>
      <c r="D16" s="54">
        <f>D15*1.075-F15*1.075^0.5</f>
        <v>106041706.14047693</v>
      </c>
      <c r="E16" s="63">
        <f>E15-1</f>
        <v>29</v>
      </c>
      <c r="F16" s="56">
        <f t="shared" ref="F16:F44" si="2">F$15*MIN(E$7,E$15+1-E16)*(1+E$5)^(E$15-E16)*IF(E16&lt;E$7,E16/E$7,1)</f>
        <v>2897397.195045175</v>
      </c>
      <c r="G16" s="54">
        <f>G15*1.075-I15*1.075^0.5</f>
        <v>101273828.77021454</v>
      </c>
      <c r="H16" s="63">
        <f>H15-1</f>
        <v>29</v>
      </c>
      <c r="I16" s="56">
        <f t="shared" ref="I16:I44" si="3">-PMT(1.075/1.03-1,H16,G16*1.075^0.5,0,1)</f>
        <v>6185204.3534460012</v>
      </c>
      <c r="J16" s="54">
        <f>J15*1.075-L15*1.075^0.5</f>
        <v>0</v>
      </c>
      <c r="K16" s="63">
        <f>K15-1</f>
        <v>28</v>
      </c>
      <c r="L16" s="55">
        <f t="shared" ref="L16:L43" si="4">-PMT(1.075/1.03-1,K16,J16*1.075^0.5,0,1)</f>
        <v>0</v>
      </c>
      <c r="M16" s="54">
        <f>M15*1.075-O15*1.075^0.5</f>
        <v>105525093.76084609</v>
      </c>
      <c r="N16" s="63">
        <f>N15-1</f>
        <v>19</v>
      </c>
      <c r="O16" s="56">
        <f t="shared" ref="O16:O35" si="5">O$15*MIN(N$7,N$15+1-N16)*(1+N$5)^(N$15-N16)*IF(N16&lt;N$7,N16/N$7,1)</f>
        <v>3923823.5561611326</v>
      </c>
      <c r="P16" s="54">
        <f t="shared" si="0"/>
        <v>3287807.1584008262</v>
      </c>
      <c r="Q16" s="54">
        <f>Q15*1.075-S15*1.075^0.5</f>
        <v>99032876.423236027</v>
      </c>
      <c r="R16" s="63">
        <f>R15-1</f>
        <v>29</v>
      </c>
      <c r="S16" s="56">
        <f t="shared" ref="S16:S44" si="6">-PMT(1.075-1,R16,Q16*1.075^0.5,0,1)</f>
        <v>8166419.1386485891</v>
      </c>
      <c r="T16" s="54">
        <f>T15*1.075-X15*1.075^0.5</f>
        <v>105525093.76084609</v>
      </c>
      <c r="U16" s="63">
        <f>U15-1</f>
        <v>19</v>
      </c>
      <c r="V16" s="63">
        <v>19</v>
      </c>
      <c r="W16" s="63"/>
      <c r="X16" s="56">
        <f t="shared" ref="X16:X35" si="7">X$15*MIN(U$7,U$15+1-U16)*(1+U$5)^(U$15-U16)*IF(U16&lt;U$7,U16/U$7,1)</f>
        <v>3923823.5561611326</v>
      </c>
      <c r="Y16" s="54">
        <f>Y15*1.075-AA15*1.075^0.5</f>
        <v>99671430.617726311</v>
      </c>
      <c r="Z16" s="63">
        <f>Z15-1</f>
        <v>19</v>
      </c>
      <c r="AA16" s="56">
        <f t="shared" ref="AA16:AA34" si="8">-PMT(1.075/1.03-1,Z16,Y16*1.075^0.5,0,1)</f>
        <v>7777059.0684769507</v>
      </c>
      <c r="AB16" s="54">
        <f>AB15*1.075-AD15*1.075^0.5</f>
        <v>97690780.836766869</v>
      </c>
      <c r="AC16" s="63">
        <f>AC15-1</f>
        <v>19</v>
      </c>
      <c r="AD16" s="55">
        <f t="shared" ref="AD16:AD34" si="9">-PMT(1.075-1,AC16,AB16*1.075^0.5,0,1)</f>
        <v>9460851.0651312731</v>
      </c>
      <c r="AF16" s="80"/>
      <c r="AO16" s="216">
        <v>500000</v>
      </c>
    </row>
    <row r="17" spans="1:41" x14ac:dyDescent="0.25">
      <c r="A17" s="49">
        <f t="shared" si="1"/>
        <v>3</v>
      </c>
      <c r="B17" s="56"/>
      <c r="C17" s="56"/>
      <c r="D17" s="54">
        <f t="shared" ref="D17:D44" si="10">D16*1.075-F16*1.075^0.5</f>
        <v>110990748.75039516</v>
      </c>
      <c r="E17" s="63">
        <f t="shared" ref="E17:E44" si="11">E16-1</f>
        <v>28</v>
      </c>
      <c r="F17" s="56">
        <f t="shared" si="2"/>
        <v>4476478.6663447954</v>
      </c>
      <c r="G17" s="54">
        <f t="shared" ref="G17:G44" si="12">G16*1.075-I16*1.075^0.5</f>
        <v>102456409.56130162</v>
      </c>
      <c r="H17" s="63">
        <f t="shared" ref="H17:H44" si="13">H16-1</f>
        <v>28</v>
      </c>
      <c r="I17" s="56">
        <f t="shared" si="3"/>
        <v>6370760.4840493808</v>
      </c>
      <c r="J17" s="54">
        <f t="shared" ref="J17:J43" si="14">J16*1.075-L16*1.075^0.5</f>
        <v>0</v>
      </c>
      <c r="K17" s="63">
        <f t="shared" ref="K17:K43" si="15">K16-1</f>
        <v>27</v>
      </c>
      <c r="L17" s="55">
        <f t="shared" si="4"/>
        <v>0</v>
      </c>
      <c r="M17" s="54">
        <f t="shared" ref="M17:M34" si="16">M16*1.075-O16*1.075^0.5</f>
        <v>109371168.9402525</v>
      </c>
      <c r="N17" s="63">
        <f t="shared" ref="N17:N35" si="17">N16-1</f>
        <v>18</v>
      </c>
      <c r="O17" s="56">
        <f t="shared" si="5"/>
        <v>6062307.3942689495</v>
      </c>
      <c r="P17" s="54">
        <f t="shared" si="0"/>
        <v>1894281.8177045854</v>
      </c>
      <c r="Q17" s="54">
        <f t="shared" ref="Q17:Q44" si="18">Q16*1.075-S16*1.075^0.5</f>
        <v>97993218.57821475</v>
      </c>
      <c r="R17" s="63">
        <f t="shared" ref="R17:R44" si="19">R16-1</f>
        <v>28</v>
      </c>
      <c r="S17" s="56">
        <f t="shared" si="6"/>
        <v>8166419.1386485901</v>
      </c>
      <c r="T17" s="54">
        <f t="shared" ref="T17:T35" si="20">T16*1.075-X16*1.075^0.5</f>
        <v>109371168.9402525</v>
      </c>
      <c r="U17" s="63">
        <f t="shared" ref="U17:V35" si="21">U16-1</f>
        <v>18</v>
      </c>
      <c r="V17" s="63">
        <f t="shared" si="21"/>
        <v>18</v>
      </c>
      <c r="W17" s="63">
        <v>18</v>
      </c>
      <c r="X17" s="56">
        <f t="shared" si="7"/>
        <v>6062307.3942689495</v>
      </c>
      <c r="Y17" s="54">
        <f t="shared" ref="Y17:Y34" si="22">Y16*1.075-AA16*1.075^0.5</f>
        <v>99083361.450313896</v>
      </c>
      <c r="Z17" s="63">
        <f t="shared" ref="Z17:Z34" si="23">Z16-1</f>
        <v>18</v>
      </c>
      <c r="AA17" s="56">
        <f t="shared" si="8"/>
        <v>8010370.8405312616</v>
      </c>
      <c r="AB17" s="54">
        <f t="shared" ref="AB17:AB35" si="24">AB16*1.075-AD16*1.075^0.5</f>
        <v>95208370.236291245</v>
      </c>
      <c r="AC17" s="63">
        <f t="shared" ref="AC17:AC35" si="25">AC16-1</f>
        <v>18</v>
      </c>
      <c r="AD17" s="55">
        <f t="shared" si="9"/>
        <v>9460851.0651312731</v>
      </c>
      <c r="AO17" s="216">
        <v>500000</v>
      </c>
    </row>
    <row r="18" spans="1:41" x14ac:dyDescent="0.25">
      <c r="A18" s="49">
        <f t="shared" si="1"/>
        <v>4</v>
      </c>
      <c r="B18" s="56"/>
      <c r="C18" s="56"/>
      <c r="D18" s="54">
        <f t="shared" si="10"/>
        <v>114673743.03997073</v>
      </c>
      <c r="E18" s="63">
        <f t="shared" si="11"/>
        <v>27</v>
      </c>
      <c r="F18" s="56">
        <f t="shared" si="2"/>
        <v>6147697.3684468521</v>
      </c>
      <c r="G18" s="54">
        <f t="shared" si="12"/>
        <v>103535295.22071984</v>
      </c>
      <c r="H18" s="63">
        <f t="shared" si="13"/>
        <v>27</v>
      </c>
      <c r="I18" s="56">
        <f t="shared" si="3"/>
        <v>6561883.298570863</v>
      </c>
      <c r="J18" s="54">
        <f t="shared" si="14"/>
        <v>0</v>
      </c>
      <c r="K18" s="63">
        <f t="shared" si="15"/>
        <v>26</v>
      </c>
      <c r="L18" s="55">
        <f t="shared" si="4"/>
        <v>0</v>
      </c>
      <c r="M18" s="54">
        <f t="shared" si="16"/>
        <v>111288472.52341628</v>
      </c>
      <c r="N18" s="63">
        <f t="shared" si="17"/>
        <v>17</v>
      </c>
      <c r="O18" s="56">
        <f t="shared" si="5"/>
        <v>8325568.8214626908</v>
      </c>
      <c r="P18" s="54">
        <f t="shared" si="0"/>
        <v>414185.93012401089</v>
      </c>
      <c r="Q18" s="54">
        <f t="shared" si="18"/>
        <v>96875586.394816875</v>
      </c>
      <c r="R18" s="63">
        <f t="shared" si="19"/>
        <v>27</v>
      </c>
      <c r="S18" s="56">
        <f t="shared" si="6"/>
        <v>8166419.1386485882</v>
      </c>
      <c r="T18" s="54">
        <f t="shared" si="20"/>
        <v>111288472.52341628</v>
      </c>
      <c r="U18" s="63">
        <f t="shared" si="21"/>
        <v>17</v>
      </c>
      <c r="V18" s="63">
        <f t="shared" si="21"/>
        <v>17</v>
      </c>
      <c r="W18" s="63">
        <f t="shared" ref="W18" si="26">W17-1</f>
        <v>17</v>
      </c>
      <c r="X18" s="56">
        <f t="shared" si="7"/>
        <v>8325568.8214626908</v>
      </c>
      <c r="Y18" s="54">
        <f t="shared" si="22"/>
        <v>98209284.301433295</v>
      </c>
      <c r="Z18" s="63">
        <f t="shared" si="23"/>
        <v>17</v>
      </c>
      <c r="AA18" s="56">
        <f t="shared" si="8"/>
        <v>8250681.9657472</v>
      </c>
      <c r="AB18" s="54">
        <f t="shared" si="24"/>
        <v>92539778.840779945</v>
      </c>
      <c r="AC18" s="63">
        <f t="shared" si="25"/>
        <v>17</v>
      </c>
      <c r="AD18" s="55">
        <f t="shared" si="9"/>
        <v>9460851.065131275</v>
      </c>
      <c r="AO18" s="216">
        <v>500000</v>
      </c>
    </row>
    <row r="19" spans="1:41" x14ac:dyDescent="0.25">
      <c r="A19" s="49">
        <f t="shared" si="1"/>
        <v>5</v>
      </c>
      <c r="B19" s="56"/>
      <c r="C19" s="56"/>
      <c r="D19" s="54">
        <f t="shared" si="10"/>
        <v>116900205.47102825</v>
      </c>
      <c r="E19" s="63">
        <f t="shared" si="11"/>
        <v>26</v>
      </c>
      <c r="F19" s="56">
        <f t="shared" si="2"/>
        <v>7915160.3618753208</v>
      </c>
      <c r="G19" s="54">
        <f t="shared" si="12"/>
        <v>104496936.95286407</v>
      </c>
      <c r="H19" s="63">
        <f t="shared" si="13"/>
        <v>26</v>
      </c>
      <c r="I19" s="56">
        <f t="shared" si="3"/>
        <v>6758739.7975279903</v>
      </c>
      <c r="J19" s="54">
        <f t="shared" si="14"/>
        <v>0</v>
      </c>
      <c r="K19" s="63">
        <f t="shared" si="15"/>
        <v>25</v>
      </c>
      <c r="L19" s="55">
        <f t="shared" si="4"/>
        <v>0</v>
      </c>
      <c r="M19" s="54">
        <f t="shared" si="16"/>
        <v>111002974.48270476</v>
      </c>
      <c r="N19" s="63">
        <f t="shared" si="17"/>
        <v>16</v>
      </c>
      <c r="O19" s="56">
        <f t="shared" si="5"/>
        <v>10719169.857633213</v>
      </c>
      <c r="P19" s="54">
        <f t="shared" si="0"/>
        <v>-1156420.5643473305</v>
      </c>
      <c r="Q19" s="54">
        <f t="shared" si="18"/>
        <v>95674131.797664165</v>
      </c>
      <c r="R19" s="63">
        <f t="shared" si="19"/>
        <v>26</v>
      </c>
      <c r="S19" s="56">
        <f t="shared" si="6"/>
        <v>8166419.1386485891</v>
      </c>
      <c r="T19" s="54">
        <f t="shared" si="20"/>
        <v>111002974.48270476</v>
      </c>
      <c r="U19" s="63">
        <f t="shared" si="21"/>
        <v>16</v>
      </c>
      <c r="V19" s="63">
        <f t="shared" si="21"/>
        <v>16</v>
      </c>
      <c r="W19" s="63">
        <f t="shared" ref="W19" si="27">W18-1</f>
        <v>16</v>
      </c>
      <c r="X19" s="56">
        <f t="shared" si="7"/>
        <v>10719169.857633213</v>
      </c>
      <c r="Y19" s="54">
        <f t="shared" si="22"/>
        <v>97020491.488657013</v>
      </c>
      <c r="Z19" s="63">
        <f t="shared" si="23"/>
        <v>16</v>
      </c>
      <c r="AA19" s="56">
        <f t="shared" si="8"/>
        <v>8498202.4247196168</v>
      </c>
      <c r="AB19" s="54">
        <f t="shared" si="24"/>
        <v>89671043.090605289</v>
      </c>
      <c r="AC19" s="63">
        <f t="shared" si="25"/>
        <v>16</v>
      </c>
      <c r="AD19" s="55">
        <f t="shared" si="9"/>
        <v>9460851.0651312731</v>
      </c>
      <c r="AO19" s="216">
        <v>500000</v>
      </c>
    </row>
    <row r="20" spans="1:41" x14ac:dyDescent="0.25">
      <c r="A20" s="49">
        <f t="shared" si="1"/>
        <v>6</v>
      </c>
      <c r="B20" s="56"/>
      <c r="C20" s="56"/>
      <c r="D20" s="54">
        <f t="shared" si="10"/>
        <v>117461107.94904476</v>
      </c>
      <c r="E20" s="63">
        <f t="shared" si="11"/>
        <v>25</v>
      </c>
      <c r="F20" s="56">
        <f t="shared" si="2"/>
        <v>8152615.1727315802</v>
      </c>
      <c r="G20" s="54">
        <f t="shared" si="12"/>
        <v>105326596.6526368</v>
      </c>
      <c r="H20" s="63">
        <f t="shared" si="13"/>
        <v>25</v>
      </c>
      <c r="I20" s="56">
        <f t="shared" si="3"/>
        <v>6961501.9914538283</v>
      </c>
      <c r="J20" s="54">
        <f t="shared" si="14"/>
        <v>0</v>
      </c>
      <c r="K20" s="63">
        <f t="shared" si="15"/>
        <v>24</v>
      </c>
      <c r="L20" s="55">
        <f t="shared" si="4"/>
        <v>0</v>
      </c>
      <c r="M20" s="54">
        <f t="shared" si="16"/>
        <v>108214325.71344914</v>
      </c>
      <c r="N20" s="63">
        <f t="shared" si="17"/>
        <v>15</v>
      </c>
      <c r="O20" s="56">
        <f t="shared" si="5"/>
        <v>11040744.953362208</v>
      </c>
      <c r="P20" s="54">
        <f t="shared" si="0"/>
        <v>-1191113.1812777519</v>
      </c>
      <c r="Q20" s="54">
        <f t="shared" si="18"/>
        <v>94382568.105725005</v>
      </c>
      <c r="R20" s="63">
        <f t="shared" si="19"/>
        <v>25</v>
      </c>
      <c r="S20" s="56">
        <f t="shared" si="6"/>
        <v>8166419.1386485901</v>
      </c>
      <c r="T20" s="54">
        <f t="shared" si="20"/>
        <v>108214325.71344914</v>
      </c>
      <c r="U20" s="63">
        <f t="shared" si="21"/>
        <v>15</v>
      </c>
      <c r="V20" s="63">
        <f t="shared" si="21"/>
        <v>15</v>
      </c>
      <c r="W20" s="63">
        <f t="shared" ref="W20" si="28">W19-1</f>
        <v>15</v>
      </c>
      <c r="X20" s="56">
        <f t="shared" si="7"/>
        <v>11040744.953362208</v>
      </c>
      <c r="Y20" s="54">
        <f t="shared" si="22"/>
        <v>95485904.540860996</v>
      </c>
      <c r="Z20" s="63">
        <f t="shared" si="23"/>
        <v>15</v>
      </c>
      <c r="AA20" s="56">
        <f t="shared" si="8"/>
        <v>8753148.4974612053</v>
      </c>
      <c r="AB20" s="54">
        <f t="shared" si="24"/>
        <v>86587152.159167543</v>
      </c>
      <c r="AC20" s="63">
        <f t="shared" si="25"/>
        <v>15</v>
      </c>
      <c r="AD20" s="55">
        <f t="shared" si="9"/>
        <v>9460851.0651312731</v>
      </c>
      <c r="AO20" s="216">
        <v>500000</v>
      </c>
    </row>
    <row r="21" spans="1:41" x14ac:dyDescent="0.25">
      <c r="A21" s="49">
        <f t="shared" si="1"/>
        <v>7</v>
      </c>
      <c r="B21" s="56"/>
      <c r="C21" s="56"/>
      <c r="D21" s="54">
        <f t="shared" si="10"/>
        <v>117817879.72494321</v>
      </c>
      <c r="E21" s="63">
        <f t="shared" si="11"/>
        <v>24</v>
      </c>
      <c r="F21" s="56">
        <f t="shared" si="2"/>
        <v>8397193.6279135291</v>
      </c>
      <c r="G21" s="54">
        <f t="shared" si="12"/>
        <v>106008252.51274173</v>
      </c>
      <c r="H21" s="63">
        <f t="shared" si="13"/>
        <v>24</v>
      </c>
      <c r="I21" s="56">
        <f t="shared" si="3"/>
        <v>7170347.0511974422</v>
      </c>
      <c r="J21" s="54">
        <f t="shared" si="14"/>
        <v>0</v>
      </c>
      <c r="K21" s="63">
        <f t="shared" si="15"/>
        <v>23</v>
      </c>
      <c r="L21" s="55">
        <f t="shared" si="4"/>
        <v>0</v>
      </c>
      <c r="M21" s="54">
        <f t="shared" si="16"/>
        <v>104883112.13083559</v>
      </c>
      <c r="N21" s="63">
        <f t="shared" si="17"/>
        <v>14</v>
      </c>
      <c r="O21" s="56">
        <f t="shared" si="5"/>
        <v>11371967.301963076</v>
      </c>
      <c r="P21" s="54">
        <f t="shared" si="0"/>
        <v>-1226846.5767160868</v>
      </c>
      <c r="Q21" s="54">
        <f t="shared" si="18"/>
        <v>92994137.136890396</v>
      </c>
      <c r="R21" s="63">
        <f t="shared" si="19"/>
        <v>24</v>
      </c>
      <c r="S21" s="56">
        <f t="shared" si="6"/>
        <v>8166419.1386485901</v>
      </c>
      <c r="T21" s="54">
        <f t="shared" si="20"/>
        <v>104883112.13083559</v>
      </c>
      <c r="U21" s="63">
        <f t="shared" si="21"/>
        <v>14</v>
      </c>
      <c r="V21" s="63">
        <f t="shared" si="21"/>
        <v>14</v>
      </c>
      <c r="W21" s="63">
        <f t="shared" ref="W21" si="29">W20-1</f>
        <v>14</v>
      </c>
      <c r="X21" s="56">
        <f t="shared" si="7"/>
        <v>11371967.301963076</v>
      </c>
      <c r="Y21" s="54">
        <f t="shared" si="22"/>
        <v>93571889.857696921</v>
      </c>
      <c r="Z21" s="63">
        <f t="shared" si="23"/>
        <v>14</v>
      </c>
      <c r="AA21" s="56">
        <f t="shared" si="8"/>
        <v>9015742.9523850419</v>
      </c>
      <c r="AB21" s="54">
        <f t="shared" si="24"/>
        <v>83271969.407871976</v>
      </c>
      <c r="AC21" s="63">
        <f t="shared" si="25"/>
        <v>14</v>
      </c>
      <c r="AD21" s="55">
        <f t="shared" si="9"/>
        <v>9460851.0651312768</v>
      </c>
      <c r="AO21" s="216">
        <v>500000</v>
      </c>
    </row>
    <row r="22" spans="1:41" x14ac:dyDescent="0.25">
      <c r="A22" s="49">
        <f t="shared" si="1"/>
        <v>8</v>
      </c>
      <c r="B22" s="56"/>
      <c r="C22" s="56"/>
      <c r="D22" s="54">
        <f t="shared" si="10"/>
        <v>117947825.04442562</v>
      </c>
      <c r="E22" s="63">
        <f t="shared" si="11"/>
        <v>23</v>
      </c>
      <c r="F22" s="56">
        <f t="shared" si="2"/>
        <v>8649109.4367509354</v>
      </c>
      <c r="G22" s="54">
        <f t="shared" si="12"/>
        <v>106524497.39568925</v>
      </c>
      <c r="H22" s="63">
        <f t="shared" si="13"/>
        <v>23</v>
      </c>
      <c r="I22" s="56">
        <f t="shared" si="3"/>
        <v>7385457.4627333665</v>
      </c>
      <c r="J22" s="54">
        <f t="shared" si="14"/>
        <v>0</v>
      </c>
      <c r="K22" s="63">
        <f t="shared" si="15"/>
        <v>22</v>
      </c>
      <c r="L22" s="55">
        <f t="shared" si="4"/>
        <v>0</v>
      </c>
      <c r="M22" s="54">
        <f t="shared" si="16"/>
        <v>100958638.88919236</v>
      </c>
      <c r="N22" s="63">
        <f t="shared" si="17"/>
        <v>13</v>
      </c>
      <c r="O22" s="56">
        <f t="shared" si="5"/>
        <v>11713126.321021968</v>
      </c>
      <c r="P22" s="54">
        <f t="shared" si="0"/>
        <v>-1263651.9740175689</v>
      </c>
      <c r="Q22" s="54">
        <f t="shared" si="18"/>
        <v>91501573.845393196</v>
      </c>
      <c r="R22" s="63">
        <f t="shared" si="19"/>
        <v>23</v>
      </c>
      <c r="S22" s="56">
        <f t="shared" si="6"/>
        <v>8166419.1386485901</v>
      </c>
      <c r="T22" s="54">
        <f t="shared" si="20"/>
        <v>100958638.88919236</v>
      </c>
      <c r="U22" s="63">
        <f t="shared" si="21"/>
        <v>13</v>
      </c>
      <c r="V22" s="63">
        <f t="shared" si="21"/>
        <v>13</v>
      </c>
      <c r="W22" s="63">
        <f t="shared" ref="W22" si="30">W21-1</f>
        <v>13</v>
      </c>
      <c r="X22" s="56">
        <f t="shared" si="7"/>
        <v>11713126.321021968</v>
      </c>
      <c r="Y22" s="54">
        <f t="shared" si="22"/>
        <v>91242060.347583681</v>
      </c>
      <c r="Z22" s="63">
        <f t="shared" si="23"/>
        <v>13</v>
      </c>
      <c r="AA22" s="56">
        <f t="shared" si="8"/>
        <v>9286215.2409565952</v>
      </c>
      <c r="AB22" s="54">
        <f t="shared" si="24"/>
        <v>79708147.950229228</v>
      </c>
      <c r="AC22" s="63">
        <f t="shared" si="25"/>
        <v>13</v>
      </c>
      <c r="AD22" s="55">
        <f t="shared" si="9"/>
        <v>9460851.0651312731</v>
      </c>
      <c r="AO22" s="216">
        <v>500000</v>
      </c>
    </row>
    <row r="23" spans="1:41" x14ac:dyDescent="0.25">
      <c r="A23" s="49">
        <f t="shared" si="1"/>
        <v>9</v>
      </c>
      <c r="B23" s="56"/>
      <c r="C23" s="56"/>
      <c r="D23" s="54">
        <f t="shared" si="10"/>
        <v>117826324.39307258</v>
      </c>
      <c r="E23" s="63">
        <f t="shared" si="11"/>
        <v>22</v>
      </c>
      <c r="F23" s="56">
        <f t="shared" si="2"/>
        <v>8908582.7198534608</v>
      </c>
      <c r="G23" s="54">
        <f t="shared" si="12"/>
        <v>106856429.42319258</v>
      </c>
      <c r="H23" s="63">
        <f t="shared" si="13"/>
        <v>22</v>
      </c>
      <c r="I23" s="56">
        <f t="shared" si="3"/>
        <v>7607021.1866153656</v>
      </c>
      <c r="J23" s="54">
        <f t="shared" si="14"/>
        <v>0</v>
      </c>
      <c r="K23" s="63">
        <f t="shared" si="15"/>
        <v>21</v>
      </c>
      <c r="L23" s="55">
        <f t="shared" si="4"/>
        <v>0</v>
      </c>
      <c r="M23" s="54">
        <f t="shared" si="16"/>
        <v>96386108.954882219</v>
      </c>
      <c r="N23" s="63">
        <f t="shared" si="17"/>
        <v>12</v>
      </c>
      <c r="O23" s="56">
        <f t="shared" si="5"/>
        <v>12064520.110652626</v>
      </c>
      <c r="P23" s="54">
        <f t="shared" si="0"/>
        <v>-1301561.5332380952</v>
      </c>
      <c r="Q23" s="54">
        <f t="shared" si="18"/>
        <v>89897068.307033703</v>
      </c>
      <c r="R23" s="63">
        <f t="shared" si="19"/>
        <v>22</v>
      </c>
      <c r="S23" s="56">
        <f t="shared" si="6"/>
        <v>8166419.1386485901</v>
      </c>
      <c r="T23" s="54">
        <f t="shared" si="20"/>
        <v>96386108.954882219</v>
      </c>
      <c r="U23" s="63">
        <f t="shared" si="21"/>
        <v>12</v>
      </c>
      <c r="V23" s="63">
        <f t="shared" si="21"/>
        <v>12</v>
      </c>
      <c r="W23" s="63">
        <f t="shared" ref="W23" si="31">W22-1</f>
        <v>12</v>
      </c>
      <c r="X23" s="56">
        <f t="shared" si="7"/>
        <v>12064520.110652626</v>
      </c>
      <c r="Y23" s="54">
        <f t="shared" si="22"/>
        <v>88457061.986728728</v>
      </c>
      <c r="Z23" s="63">
        <f t="shared" si="23"/>
        <v>12</v>
      </c>
      <c r="AA23" s="56">
        <f t="shared" si="8"/>
        <v>9564801.6981852911</v>
      </c>
      <c r="AB23" s="54">
        <f t="shared" si="24"/>
        <v>75877039.88326329</v>
      </c>
      <c r="AC23" s="63">
        <f t="shared" si="25"/>
        <v>12</v>
      </c>
      <c r="AD23" s="55">
        <f t="shared" si="9"/>
        <v>9460851.0651312787</v>
      </c>
      <c r="AO23" s="216">
        <v>500000</v>
      </c>
    </row>
    <row r="24" spans="1:41" x14ac:dyDescent="0.25">
      <c r="A24" s="49">
        <f t="shared" si="1"/>
        <v>10</v>
      </c>
      <c r="B24" s="56"/>
      <c r="C24" s="56"/>
      <c r="D24" s="54">
        <f t="shared" si="10"/>
        <v>117426683.56697752</v>
      </c>
      <c r="E24" s="63">
        <f t="shared" si="11"/>
        <v>21</v>
      </c>
      <c r="F24" s="56">
        <f t="shared" si="2"/>
        <v>9175840.2014490664</v>
      </c>
      <c r="G24" s="54">
        <f t="shared" si="12"/>
        <v>106983534.19444346</v>
      </c>
      <c r="H24" s="63">
        <f t="shared" si="13"/>
        <v>21</v>
      </c>
      <c r="I24" s="56">
        <f t="shared" si="3"/>
        <v>7835231.8222138267</v>
      </c>
      <c r="J24" s="54">
        <f t="shared" si="14"/>
        <v>0</v>
      </c>
      <c r="K24" s="63">
        <f t="shared" si="15"/>
        <v>20</v>
      </c>
      <c r="L24" s="55">
        <f t="shared" si="4"/>
        <v>0</v>
      </c>
      <c r="M24" s="54">
        <f t="shared" si="16"/>
        <v>91106306.439968839</v>
      </c>
      <c r="N24" s="63">
        <f t="shared" si="17"/>
        <v>11</v>
      </c>
      <c r="O24" s="56">
        <f t="shared" si="5"/>
        <v>12426455.713972205</v>
      </c>
      <c r="P24" s="54">
        <f t="shared" si="0"/>
        <v>-1340608.3792352397</v>
      </c>
      <c r="Q24" s="54">
        <f t="shared" si="18"/>
        <v>88172224.853297248</v>
      </c>
      <c r="R24" s="63">
        <f t="shared" si="19"/>
        <v>21</v>
      </c>
      <c r="S24" s="56">
        <f t="shared" si="6"/>
        <v>8166419.1386485901</v>
      </c>
      <c r="T24" s="54">
        <f t="shared" si="20"/>
        <v>91106306.439968839</v>
      </c>
      <c r="U24" s="63">
        <f t="shared" si="21"/>
        <v>11</v>
      </c>
      <c r="V24" s="63">
        <f t="shared" si="21"/>
        <v>11</v>
      </c>
      <c r="W24" s="63">
        <f t="shared" ref="W24" si="32">W23-1</f>
        <v>11</v>
      </c>
      <c r="X24" s="56">
        <f t="shared" si="7"/>
        <v>12426455.713972205</v>
      </c>
      <c r="Y24" s="54">
        <f t="shared" si="22"/>
        <v>85174344.162201941</v>
      </c>
      <c r="Z24" s="63">
        <f t="shared" si="23"/>
        <v>11</v>
      </c>
      <c r="AA24" s="56">
        <f t="shared" si="8"/>
        <v>9851745.7491308469</v>
      </c>
      <c r="AB24" s="54">
        <f t="shared" si="24"/>
        <v>71758598.711274892</v>
      </c>
      <c r="AC24" s="63">
        <f t="shared" si="25"/>
        <v>11</v>
      </c>
      <c r="AD24" s="55">
        <f t="shared" si="9"/>
        <v>9460851.065131275</v>
      </c>
      <c r="AO24" s="216">
        <v>500000</v>
      </c>
    </row>
    <row r="25" spans="1:41" x14ac:dyDescent="0.25">
      <c r="A25" s="49">
        <f t="shared" si="1"/>
        <v>11</v>
      </c>
      <c r="B25" s="56"/>
      <c r="C25" s="56"/>
      <c r="D25" s="54">
        <f t="shared" si="10"/>
        <v>116719971.22425805</v>
      </c>
      <c r="E25" s="63">
        <f t="shared" si="11"/>
        <v>20</v>
      </c>
      <c r="F25" s="56">
        <f t="shared" si="2"/>
        <v>9451115.4074925371</v>
      </c>
      <c r="G25" s="54">
        <f t="shared" si="12"/>
        <v>106883558.00047351</v>
      </c>
      <c r="H25" s="63">
        <f t="shared" si="13"/>
        <v>20</v>
      </c>
      <c r="I25" s="56">
        <f t="shared" si="3"/>
        <v>8070288.7768802438</v>
      </c>
      <c r="J25" s="54">
        <f t="shared" si="14"/>
        <v>0</v>
      </c>
      <c r="K25" s="63">
        <f t="shared" si="15"/>
        <v>19</v>
      </c>
      <c r="L25" s="55">
        <f t="shared" si="4"/>
        <v>0</v>
      </c>
      <c r="M25" s="54">
        <f t="shared" si="16"/>
        <v>85055255.915841058</v>
      </c>
      <c r="N25" s="63">
        <f t="shared" si="17"/>
        <v>10</v>
      </c>
      <c r="O25" s="56">
        <f t="shared" si="5"/>
        <v>12799249.385391371</v>
      </c>
      <c r="P25" s="54">
        <f t="shared" si="0"/>
        <v>-1380826.6306122933</v>
      </c>
      <c r="Q25" s="54">
        <f t="shared" si="18"/>
        <v>86318018.140530571</v>
      </c>
      <c r="R25" s="63">
        <f t="shared" si="19"/>
        <v>20</v>
      </c>
      <c r="S25" s="56">
        <f t="shared" si="6"/>
        <v>8166419.1386485919</v>
      </c>
      <c r="T25" s="54">
        <f t="shared" si="20"/>
        <v>85055255.915841058</v>
      </c>
      <c r="U25" s="63">
        <f t="shared" si="21"/>
        <v>10</v>
      </c>
      <c r="V25" s="63">
        <f t="shared" si="21"/>
        <v>10</v>
      </c>
      <c r="W25" s="63">
        <f t="shared" ref="W25" si="33">W24-1</f>
        <v>10</v>
      </c>
      <c r="X25" s="56">
        <f t="shared" si="7"/>
        <v>12799249.385391371</v>
      </c>
      <c r="Y25" s="54">
        <f t="shared" si="22"/>
        <v>81347912.576629713</v>
      </c>
      <c r="Z25" s="63">
        <f t="shared" si="23"/>
        <v>10</v>
      </c>
      <c r="AA25" s="56">
        <f t="shared" si="8"/>
        <v>10147298.121604776</v>
      </c>
      <c r="AB25" s="54">
        <f t="shared" si="24"/>
        <v>67331274.451387376</v>
      </c>
      <c r="AC25" s="63">
        <f t="shared" si="25"/>
        <v>10</v>
      </c>
      <c r="AD25" s="55">
        <f t="shared" si="9"/>
        <v>9460851.065131275</v>
      </c>
      <c r="AO25" s="216">
        <v>500000</v>
      </c>
    </row>
    <row r="26" spans="1:41" x14ac:dyDescent="0.25">
      <c r="A26" s="49">
        <f t="shared" si="1"/>
        <v>12</v>
      </c>
      <c r="B26" s="56"/>
      <c r="C26" s="56"/>
      <c r="D26" s="54">
        <f t="shared" si="10"/>
        <v>115674844.04752734</v>
      </c>
      <c r="E26" s="63">
        <f t="shared" si="11"/>
        <v>19</v>
      </c>
      <c r="F26" s="56">
        <f t="shared" si="2"/>
        <v>9734648.8697173148</v>
      </c>
      <c r="G26" s="54">
        <f t="shared" si="12"/>
        <v>106532371.35419922</v>
      </c>
      <c r="H26" s="63">
        <f t="shared" si="13"/>
        <v>19</v>
      </c>
      <c r="I26" s="56">
        <f t="shared" si="3"/>
        <v>8312397.4401866477</v>
      </c>
      <c r="J26" s="54">
        <f t="shared" si="14"/>
        <v>0</v>
      </c>
      <c r="K26" s="63">
        <f t="shared" si="15"/>
        <v>18</v>
      </c>
      <c r="L26" s="55">
        <f t="shared" si="4"/>
        <v>0</v>
      </c>
      <c r="M26" s="54">
        <f t="shared" si="16"/>
        <v>78163855.89718993</v>
      </c>
      <c r="N26" s="63">
        <f t="shared" si="17"/>
        <v>9</v>
      </c>
      <c r="O26" s="56">
        <f t="shared" si="5"/>
        <v>13183226.866953114</v>
      </c>
      <c r="P26" s="54">
        <f t="shared" si="0"/>
        <v>-1422251.4295306671</v>
      </c>
      <c r="Q26" s="54">
        <f t="shared" si="18"/>
        <v>84324745.924306393</v>
      </c>
      <c r="R26" s="63">
        <f t="shared" si="19"/>
        <v>19</v>
      </c>
      <c r="S26" s="56">
        <f t="shared" si="6"/>
        <v>8166419.1386485929</v>
      </c>
      <c r="T26" s="54">
        <f t="shared" si="20"/>
        <v>78163855.89718993</v>
      </c>
      <c r="U26" s="63">
        <f t="shared" si="21"/>
        <v>9</v>
      </c>
      <c r="V26" s="63">
        <f t="shared" si="21"/>
        <v>9</v>
      </c>
      <c r="W26" s="63">
        <f t="shared" ref="W26" si="34">W25-1</f>
        <v>9</v>
      </c>
      <c r="X26" s="56">
        <f t="shared" si="7"/>
        <v>13183226.866953114</v>
      </c>
      <c r="Y26" s="54">
        <f t="shared" si="22"/>
        <v>76928063.400207445</v>
      </c>
      <c r="Z26" s="63">
        <f t="shared" si="23"/>
        <v>9</v>
      </c>
      <c r="AA26" s="56">
        <f t="shared" si="8"/>
        <v>10451717.065252917</v>
      </c>
      <c r="AB26" s="54">
        <f t="shared" si="24"/>
        <v>62571900.872008286</v>
      </c>
      <c r="AC26" s="63">
        <f t="shared" si="25"/>
        <v>9</v>
      </c>
      <c r="AD26" s="55">
        <f t="shared" si="9"/>
        <v>9460851.0651312768</v>
      </c>
      <c r="AO26" s="216">
        <v>500000</v>
      </c>
    </row>
    <row r="27" spans="1:41" s="50" customFormat="1" x14ac:dyDescent="0.25">
      <c r="A27" s="49">
        <f t="shared" si="1"/>
        <v>13</v>
      </c>
      <c r="B27" s="56"/>
      <c r="C27" s="56"/>
      <c r="D27" s="54">
        <f t="shared" si="10"/>
        <v>114257358.58198534</v>
      </c>
      <c r="E27" s="63">
        <f t="shared" si="11"/>
        <v>18</v>
      </c>
      <c r="F27" s="56">
        <f t="shared" si="2"/>
        <v>10026688.335808832</v>
      </c>
      <c r="G27" s="54">
        <f t="shared" si="12"/>
        <v>105903822.10456507</v>
      </c>
      <c r="H27" s="63">
        <f t="shared" si="13"/>
        <v>18</v>
      </c>
      <c r="I27" s="56">
        <f t="shared" si="3"/>
        <v>8561769.3633922487</v>
      </c>
      <c r="J27" s="54">
        <f t="shared" si="14"/>
        <v>0</v>
      </c>
      <c r="K27" s="63">
        <f t="shared" si="15"/>
        <v>17</v>
      </c>
      <c r="L27" s="55">
        <f t="shared" si="4"/>
        <v>0</v>
      </c>
      <c r="M27" s="54">
        <f t="shared" si="16"/>
        <v>70357484.550769806</v>
      </c>
      <c r="N27" s="63">
        <f t="shared" si="17"/>
        <v>8</v>
      </c>
      <c r="O27" s="56">
        <f t="shared" si="5"/>
        <v>13578723.672961704</v>
      </c>
      <c r="P27" s="54">
        <f t="shared" si="0"/>
        <v>-1464918.9724165834</v>
      </c>
      <c r="Q27" s="54">
        <f t="shared" si="18"/>
        <v>82181978.291865379</v>
      </c>
      <c r="R27" s="63">
        <f t="shared" si="19"/>
        <v>18</v>
      </c>
      <c r="S27" s="56">
        <f t="shared" si="6"/>
        <v>8166419.138648591</v>
      </c>
      <c r="T27" s="54">
        <f t="shared" si="20"/>
        <v>70357484.550769806</v>
      </c>
      <c r="U27" s="63">
        <f t="shared" si="21"/>
        <v>8</v>
      </c>
      <c r="V27" s="63">
        <f t="shared" si="21"/>
        <v>8</v>
      </c>
      <c r="W27" s="63">
        <f t="shared" ref="W27" si="35">W26-1</f>
        <v>8</v>
      </c>
      <c r="X27" s="56">
        <f t="shared" si="7"/>
        <v>13578723.672961704</v>
      </c>
      <c r="Y27" s="54">
        <f t="shared" si="22"/>
        <v>71861097.256963417</v>
      </c>
      <c r="Z27" s="63">
        <f t="shared" si="23"/>
        <v>8</v>
      </c>
      <c r="AA27" s="56">
        <f t="shared" si="8"/>
        <v>10765268.577210505</v>
      </c>
      <c r="AB27" s="54">
        <f t="shared" si="24"/>
        <v>57455574.274175771</v>
      </c>
      <c r="AC27" s="63">
        <f t="shared" si="25"/>
        <v>8</v>
      </c>
      <c r="AD27" s="55">
        <f t="shared" si="9"/>
        <v>9460851.0651312787</v>
      </c>
      <c r="AE27" s="73"/>
      <c r="AF27" s="49"/>
      <c r="AO27" s="216">
        <v>500000</v>
      </c>
    </row>
    <row r="28" spans="1:41" s="50" customFormat="1" x14ac:dyDescent="0.25">
      <c r="A28" s="49">
        <f t="shared" si="1"/>
        <v>14</v>
      </c>
      <c r="B28" s="56"/>
      <c r="C28" s="56"/>
      <c r="D28" s="54">
        <f t="shared" si="10"/>
        <v>112430768.74345449</v>
      </c>
      <c r="E28" s="63">
        <f t="shared" si="11"/>
        <v>17</v>
      </c>
      <c r="F28" s="56">
        <f t="shared" si="2"/>
        <v>10327488.985883096</v>
      </c>
      <c r="G28" s="54">
        <f t="shared" si="12"/>
        <v>104969577.34817238</v>
      </c>
      <c r="H28" s="63">
        <f t="shared" si="13"/>
        <v>17</v>
      </c>
      <c r="I28" s="56">
        <f t="shared" si="3"/>
        <v>8818622.4442940168</v>
      </c>
      <c r="J28" s="54">
        <f t="shared" si="14"/>
        <v>0</v>
      </c>
      <c r="K28" s="63">
        <f t="shared" si="15"/>
        <v>16</v>
      </c>
      <c r="L28" s="55">
        <f t="shared" si="4"/>
        <v>0</v>
      </c>
      <c r="M28" s="54">
        <f t="shared" si="16"/>
        <v>61555575.537206881</v>
      </c>
      <c r="N28" s="63">
        <f t="shared" si="17"/>
        <v>7</v>
      </c>
      <c r="O28" s="56">
        <f t="shared" si="5"/>
        <v>13986085.383150555</v>
      </c>
      <c r="P28" s="54">
        <f t="shared" si="0"/>
        <v>-1508866.5415890794</v>
      </c>
      <c r="Q28" s="54">
        <f t="shared" si="18"/>
        <v>79878503.08699131</v>
      </c>
      <c r="R28" s="63">
        <f t="shared" si="19"/>
        <v>17</v>
      </c>
      <c r="S28" s="56">
        <f t="shared" si="6"/>
        <v>8166419.1386485929</v>
      </c>
      <c r="T28" s="54">
        <f t="shared" si="20"/>
        <v>61555575.537206881</v>
      </c>
      <c r="U28" s="63">
        <f t="shared" si="21"/>
        <v>7</v>
      </c>
      <c r="V28" s="63">
        <f t="shared" si="21"/>
        <v>7</v>
      </c>
      <c r="W28" s="63">
        <f t="shared" ref="W28" si="36">W27-1</f>
        <v>7</v>
      </c>
      <c r="X28" s="56">
        <f t="shared" si="7"/>
        <v>13986085.383150555</v>
      </c>
      <c r="Y28" s="54">
        <f t="shared" si="22"/>
        <v>66089011.526028305</v>
      </c>
      <c r="Z28" s="63">
        <f t="shared" si="23"/>
        <v>7</v>
      </c>
      <c r="AA28" s="56">
        <f t="shared" si="8"/>
        <v>11088226.634526819</v>
      </c>
      <c r="AB28" s="54">
        <f t="shared" si="24"/>
        <v>51955523.181505814</v>
      </c>
      <c r="AC28" s="63">
        <f t="shared" si="25"/>
        <v>7</v>
      </c>
      <c r="AD28" s="55">
        <f t="shared" si="9"/>
        <v>9460851.0651312806</v>
      </c>
      <c r="AE28" s="73"/>
      <c r="AF28" s="49"/>
      <c r="AO28" s="216">
        <v>500000</v>
      </c>
    </row>
    <row r="29" spans="1:41" s="50" customFormat="1" x14ac:dyDescent="0.25">
      <c r="A29" s="49">
        <f t="shared" si="1"/>
        <v>15</v>
      </c>
      <c r="B29" s="56"/>
      <c r="C29" s="56"/>
      <c r="D29" s="54">
        <f t="shared" si="10"/>
        <v>110155307.91506843</v>
      </c>
      <c r="E29" s="63">
        <f t="shared" si="11"/>
        <v>16</v>
      </c>
      <c r="F29" s="56">
        <f t="shared" si="2"/>
        <v>10637313.65545959</v>
      </c>
      <c r="G29" s="54">
        <f t="shared" si="12"/>
        <v>103698953.29262318</v>
      </c>
      <c r="H29" s="63">
        <f t="shared" si="13"/>
        <v>16</v>
      </c>
      <c r="I29" s="56">
        <f t="shared" si="3"/>
        <v>9083181.1176228374</v>
      </c>
      <c r="J29" s="54">
        <f t="shared" si="14"/>
        <v>0</v>
      </c>
      <c r="K29" s="63">
        <f t="shared" si="15"/>
        <v>15</v>
      </c>
      <c r="L29" s="55">
        <f t="shared" si="4"/>
        <v>0</v>
      </c>
      <c r="M29" s="54">
        <f t="shared" si="16"/>
        <v>51671161.736980617</v>
      </c>
      <c r="N29" s="63">
        <f t="shared" si="17"/>
        <v>6</v>
      </c>
      <c r="O29" s="56">
        <f t="shared" si="5"/>
        <v>14405667.944645073</v>
      </c>
      <c r="P29" s="54">
        <f t="shared" si="0"/>
        <v>-1554132.5378367528</v>
      </c>
      <c r="Q29" s="54">
        <f t="shared" si="18"/>
        <v>77402267.241751671</v>
      </c>
      <c r="R29" s="63">
        <f t="shared" si="19"/>
        <v>16</v>
      </c>
      <c r="S29" s="56">
        <f t="shared" si="6"/>
        <v>8166419.1386485929</v>
      </c>
      <c r="T29" s="54">
        <f t="shared" si="20"/>
        <v>51671161.736980617</v>
      </c>
      <c r="U29" s="63">
        <f t="shared" si="21"/>
        <v>6</v>
      </c>
      <c r="V29" s="63">
        <f t="shared" si="21"/>
        <v>6</v>
      </c>
      <c r="W29" s="63">
        <f t="shared" ref="W29" si="37">W28-1</f>
        <v>6</v>
      </c>
      <c r="X29" s="56">
        <f t="shared" si="7"/>
        <v>14405667.944645073</v>
      </c>
      <c r="Y29" s="54">
        <f t="shared" si="22"/>
        <v>59549169.32451684</v>
      </c>
      <c r="Z29" s="63">
        <f t="shared" si="23"/>
        <v>6</v>
      </c>
      <c r="AA29" s="56">
        <f t="shared" si="8"/>
        <v>11420873.433562625</v>
      </c>
      <c r="AB29" s="54">
        <f t="shared" si="24"/>
        <v>46042968.256885603</v>
      </c>
      <c r="AC29" s="63">
        <f t="shared" si="25"/>
        <v>6</v>
      </c>
      <c r="AD29" s="55">
        <f t="shared" si="9"/>
        <v>9460851.0651312806</v>
      </c>
      <c r="AE29" s="73"/>
      <c r="AF29" s="49"/>
      <c r="AO29" s="216">
        <v>500000</v>
      </c>
    </row>
    <row r="30" spans="1:41" s="50" customFormat="1" x14ac:dyDescent="0.25">
      <c r="A30" s="49">
        <f t="shared" si="1"/>
        <v>16</v>
      </c>
      <c r="B30" s="56"/>
      <c r="C30" s="56"/>
      <c r="D30" s="54">
        <f t="shared" si="10"/>
        <v>107387954.47002906</v>
      </c>
      <c r="E30" s="63">
        <f t="shared" si="11"/>
        <v>15</v>
      </c>
      <c r="F30" s="56">
        <f t="shared" si="2"/>
        <v>10956433.065123379</v>
      </c>
      <c r="G30" s="54">
        <f t="shared" si="12"/>
        <v>102058732.16220793</v>
      </c>
      <c r="H30" s="63">
        <f t="shared" si="13"/>
        <v>15</v>
      </c>
      <c r="I30" s="56">
        <f t="shared" si="3"/>
        <v>9355676.5511515234</v>
      </c>
      <c r="J30" s="54">
        <f t="shared" si="14"/>
        <v>0</v>
      </c>
      <c r="K30" s="63">
        <f t="shared" si="15"/>
        <v>14</v>
      </c>
      <c r="L30" s="55">
        <f t="shared" si="4"/>
        <v>0</v>
      </c>
      <c r="M30" s="54">
        <f t="shared" si="16"/>
        <v>40610384.442771882</v>
      </c>
      <c r="N30" s="63">
        <f t="shared" si="17"/>
        <v>5</v>
      </c>
      <c r="O30" s="56">
        <f t="shared" si="5"/>
        <v>14837837.982984426</v>
      </c>
      <c r="P30" s="54">
        <f t="shared" si="0"/>
        <v>-1600756.5139718559</v>
      </c>
      <c r="Q30" s="54">
        <f t="shared" si="18"/>
        <v>74740313.708119065</v>
      </c>
      <c r="R30" s="63">
        <f t="shared" si="19"/>
        <v>15</v>
      </c>
      <c r="S30" s="56">
        <f t="shared" si="6"/>
        <v>8166419.1386485938</v>
      </c>
      <c r="T30" s="54">
        <f t="shared" si="20"/>
        <v>40610384.442771882</v>
      </c>
      <c r="U30" s="63">
        <f t="shared" si="21"/>
        <v>5</v>
      </c>
      <c r="V30" s="63">
        <f t="shared" si="21"/>
        <v>5</v>
      </c>
      <c r="W30" s="63">
        <f t="shared" ref="W30" si="38">W29-1</f>
        <v>5</v>
      </c>
      <c r="X30" s="56">
        <f t="shared" si="7"/>
        <v>14837837.982984426</v>
      </c>
      <c r="Y30" s="54">
        <f t="shared" si="22"/>
        <v>52173943.415913105</v>
      </c>
      <c r="Z30" s="63">
        <f t="shared" si="23"/>
        <v>5</v>
      </c>
      <c r="AA30" s="56">
        <f t="shared" si="8"/>
        <v>11763499.636569509</v>
      </c>
      <c r="AB30" s="54">
        <f t="shared" si="24"/>
        <v>39686971.712918878</v>
      </c>
      <c r="AC30" s="63">
        <f t="shared" si="25"/>
        <v>5</v>
      </c>
      <c r="AD30" s="55">
        <f t="shared" si="9"/>
        <v>9460851.0651312787</v>
      </c>
      <c r="AE30" s="73"/>
      <c r="AF30" s="49"/>
      <c r="AO30" s="216">
        <v>500000</v>
      </c>
    </row>
    <row r="31" spans="1:41" s="50" customFormat="1" x14ac:dyDescent="0.25">
      <c r="A31" s="49">
        <f t="shared" si="1"/>
        <v>17</v>
      </c>
      <c r="B31" s="56"/>
      <c r="C31" s="56"/>
      <c r="D31" s="54">
        <f t="shared" si="10"/>
        <v>104082179.47045165</v>
      </c>
      <c r="E31" s="63">
        <f t="shared" si="11"/>
        <v>14</v>
      </c>
      <c r="F31" s="56">
        <f t="shared" si="2"/>
        <v>11285126.057077078</v>
      </c>
      <c r="G31" s="54">
        <f t="shared" si="12"/>
        <v>100012965.16819069</v>
      </c>
      <c r="H31" s="63">
        <f t="shared" si="13"/>
        <v>14</v>
      </c>
      <c r="I31" s="56">
        <f t="shared" si="3"/>
        <v>9636346.8476860691</v>
      </c>
      <c r="J31" s="54">
        <f t="shared" si="14"/>
        <v>0</v>
      </c>
      <c r="K31" s="63">
        <f t="shared" si="15"/>
        <v>13</v>
      </c>
      <c r="L31" s="55">
        <f t="shared" si="4"/>
        <v>0</v>
      </c>
      <c r="M31" s="54">
        <f t="shared" si="16"/>
        <v>28271965.418763023</v>
      </c>
      <c r="N31" s="63">
        <f t="shared" si="17"/>
        <v>4</v>
      </c>
      <c r="O31" s="56">
        <f t="shared" si="5"/>
        <v>12226378.497979166</v>
      </c>
      <c r="P31" s="54">
        <f t="shared" si="0"/>
        <v>-1648779.2093910091</v>
      </c>
      <c r="Q31" s="54">
        <f t="shared" si="18"/>
        <v>71878713.659464002</v>
      </c>
      <c r="R31" s="63">
        <f t="shared" si="19"/>
        <v>14</v>
      </c>
      <c r="S31" s="56">
        <f t="shared" si="6"/>
        <v>8166419.1386485966</v>
      </c>
      <c r="T31" s="54">
        <f t="shared" si="20"/>
        <v>28271965.418763023</v>
      </c>
      <c r="U31" s="63">
        <f t="shared" si="21"/>
        <v>4</v>
      </c>
      <c r="V31" s="63">
        <f t="shared" si="21"/>
        <v>4</v>
      </c>
      <c r="W31" s="63">
        <f t="shared" ref="W31" si="39">W30-1</f>
        <v>4</v>
      </c>
      <c r="X31" s="56">
        <f t="shared" si="7"/>
        <v>12226378.497979166</v>
      </c>
      <c r="Y31" s="54">
        <f t="shared" si="22"/>
        <v>43890333.15592581</v>
      </c>
      <c r="Z31" s="63">
        <f t="shared" si="23"/>
        <v>4</v>
      </c>
      <c r="AA31" s="56">
        <f t="shared" si="8"/>
        <v>12116404.625666596</v>
      </c>
      <c r="AB31" s="54">
        <f t="shared" si="24"/>
        <v>32854275.428154651</v>
      </c>
      <c r="AC31" s="63">
        <f t="shared" si="25"/>
        <v>4</v>
      </c>
      <c r="AD31" s="55">
        <f t="shared" si="9"/>
        <v>9460851.0651312843</v>
      </c>
      <c r="AE31" s="73"/>
      <c r="AF31" s="49"/>
      <c r="AO31" s="216">
        <v>500000</v>
      </c>
    </row>
    <row r="32" spans="1:41" s="50" customFormat="1" x14ac:dyDescent="0.25">
      <c r="A32" s="49">
        <f t="shared" si="1"/>
        <v>18</v>
      </c>
      <c r="B32" s="56"/>
      <c r="C32" s="56"/>
      <c r="D32" s="54">
        <f t="shared" si="10"/>
        <v>100187675.19836107</v>
      </c>
      <c r="E32" s="63">
        <f t="shared" si="11"/>
        <v>13</v>
      </c>
      <c r="F32" s="56">
        <f t="shared" si="2"/>
        <v>11623679.83878939</v>
      </c>
      <c r="G32" s="54">
        <f t="shared" si="12"/>
        <v>97522760.492436647</v>
      </c>
      <c r="H32" s="63">
        <f t="shared" si="13"/>
        <v>13</v>
      </c>
      <c r="I32" s="56">
        <f t="shared" si="3"/>
        <v>9925437.2531166524</v>
      </c>
      <c r="J32" s="54">
        <f t="shared" si="14"/>
        <v>0</v>
      </c>
      <c r="K32" s="63">
        <f t="shared" si="15"/>
        <v>12</v>
      </c>
      <c r="L32" s="55">
        <f t="shared" si="4"/>
        <v>0</v>
      </c>
      <c r="M32" s="54">
        <f t="shared" si="16"/>
        <v>17715783.790823646</v>
      </c>
      <c r="N32" s="63">
        <f t="shared" si="17"/>
        <v>3</v>
      </c>
      <c r="O32" s="56">
        <f t="shared" si="5"/>
        <v>9444877.3896889053</v>
      </c>
      <c r="P32" s="54">
        <f t="shared" si="0"/>
        <v>-1698242.585672738</v>
      </c>
      <c r="Q32" s="54">
        <f t="shared" si="18"/>
        <v>68802493.607159808</v>
      </c>
      <c r="R32" s="63">
        <f t="shared" si="19"/>
        <v>13</v>
      </c>
      <c r="S32" s="56">
        <f t="shared" si="6"/>
        <v>8166419.1386485929</v>
      </c>
      <c r="T32" s="54">
        <f t="shared" si="20"/>
        <v>17715783.790823646</v>
      </c>
      <c r="U32" s="63">
        <f t="shared" si="21"/>
        <v>3</v>
      </c>
      <c r="V32" s="63">
        <f t="shared" si="21"/>
        <v>3</v>
      </c>
      <c r="W32" s="63">
        <f t="shared" ref="W32" si="40">W31-1</f>
        <v>3</v>
      </c>
      <c r="X32" s="56">
        <f t="shared" si="7"/>
        <v>9444877.3896889053</v>
      </c>
      <c r="Y32" s="54">
        <f t="shared" si="22"/>
        <v>34619552.44595404</v>
      </c>
      <c r="Z32" s="63">
        <f t="shared" si="23"/>
        <v>3</v>
      </c>
      <c r="AA32" s="56">
        <f t="shared" si="8"/>
        <v>12479896.764436591</v>
      </c>
      <c r="AB32" s="54">
        <f t="shared" si="24"/>
        <v>25509126.922033101</v>
      </c>
      <c r="AC32" s="63">
        <f t="shared" si="25"/>
        <v>3</v>
      </c>
      <c r="AD32" s="55">
        <f t="shared" si="9"/>
        <v>9460851.0651312843</v>
      </c>
      <c r="AE32" s="73"/>
      <c r="AF32" s="49"/>
      <c r="AO32" s="216">
        <v>500000</v>
      </c>
    </row>
    <row r="33" spans="1:41" s="50" customFormat="1" x14ac:dyDescent="0.25">
      <c r="A33" s="49">
        <f t="shared" si="1"/>
        <v>19</v>
      </c>
      <c r="B33" s="56"/>
      <c r="C33" s="56"/>
      <c r="D33" s="54">
        <f t="shared" si="10"/>
        <v>95650063.073892444</v>
      </c>
      <c r="E33" s="63">
        <f t="shared" si="11"/>
        <v>12</v>
      </c>
      <c r="F33" s="56">
        <f t="shared" si="2"/>
        <v>11972390.233953072</v>
      </c>
      <c r="G33" s="54">
        <f t="shared" si="12"/>
        <v>94546055.154100016</v>
      </c>
      <c r="H33" s="63">
        <f t="shared" si="13"/>
        <v>12</v>
      </c>
      <c r="I33" s="56">
        <f t="shared" si="3"/>
        <v>10223200.370710151</v>
      </c>
      <c r="J33" s="54">
        <f t="shared" si="14"/>
        <v>0</v>
      </c>
      <c r="K33" s="63">
        <f t="shared" si="15"/>
        <v>11</v>
      </c>
      <c r="L33" s="55">
        <f t="shared" si="4"/>
        <v>0</v>
      </c>
      <c r="M33" s="54">
        <f t="shared" si="16"/>
        <v>9251810.2711026687</v>
      </c>
      <c r="N33" s="63">
        <f t="shared" si="17"/>
        <v>2</v>
      </c>
      <c r="O33" s="56">
        <f t="shared" si="5"/>
        <v>6485482.4742530482</v>
      </c>
      <c r="P33" s="54">
        <f t="shared" si="0"/>
        <v>-1749189.8632429205</v>
      </c>
      <c r="Q33" s="54">
        <f t="shared" si="18"/>
        <v>65495557.050932817</v>
      </c>
      <c r="R33" s="63">
        <f t="shared" si="19"/>
        <v>12</v>
      </c>
      <c r="S33" s="56">
        <f t="shared" si="6"/>
        <v>8166419.1386485966</v>
      </c>
      <c r="T33" s="54">
        <f t="shared" si="20"/>
        <v>9251810.2711026687</v>
      </c>
      <c r="U33" s="63">
        <f t="shared" si="21"/>
        <v>2</v>
      </c>
      <c r="V33" s="63">
        <f t="shared" si="21"/>
        <v>2</v>
      </c>
      <c r="W33" s="63">
        <f t="shared" ref="W33" si="41">W32-1</f>
        <v>2</v>
      </c>
      <c r="X33" s="56">
        <f t="shared" si="7"/>
        <v>6485482.4742530482</v>
      </c>
      <c r="Y33" s="54">
        <f t="shared" si="22"/>
        <v>24276586.511834402</v>
      </c>
      <c r="Z33" s="63">
        <f t="shared" si="23"/>
        <v>2</v>
      </c>
      <c r="AA33" s="56">
        <f t="shared" si="8"/>
        <v>12854293.667369688</v>
      </c>
      <c r="AB33" s="54">
        <f t="shared" si="24"/>
        <v>17613092.277952433</v>
      </c>
      <c r="AC33" s="63">
        <f t="shared" si="25"/>
        <v>2</v>
      </c>
      <c r="AD33" s="55">
        <f t="shared" si="9"/>
        <v>9460851.0651312806</v>
      </c>
      <c r="AE33" s="73"/>
      <c r="AF33" s="49"/>
      <c r="AO33" s="216">
        <v>500000</v>
      </c>
    </row>
    <row r="34" spans="1:41" s="50" customFormat="1" x14ac:dyDescent="0.25">
      <c r="A34" s="49">
        <f t="shared" si="1"/>
        <v>20</v>
      </c>
      <c r="B34" s="56"/>
      <c r="C34" s="56"/>
      <c r="D34" s="54">
        <f t="shared" si="10"/>
        <v>90410579.4071583</v>
      </c>
      <c r="E34" s="63">
        <f t="shared" si="11"/>
        <v>11</v>
      </c>
      <c r="F34" s="56">
        <f t="shared" si="2"/>
        <v>12331561.940971665</v>
      </c>
      <c r="G34" s="54">
        <f t="shared" si="12"/>
        <v>91037369.544130042</v>
      </c>
      <c r="H34" s="63">
        <f t="shared" si="13"/>
        <v>11</v>
      </c>
      <c r="I34" s="56">
        <f t="shared" si="3"/>
        <v>10529896.381831454</v>
      </c>
      <c r="J34" s="54">
        <f t="shared" si="14"/>
        <v>0</v>
      </c>
      <c r="K34" s="63">
        <f t="shared" si="15"/>
        <v>10</v>
      </c>
      <c r="L34" s="55">
        <f t="shared" si="4"/>
        <v>0</v>
      </c>
      <c r="M34" s="54">
        <f t="shared" si="16"/>
        <v>3221404.692666214</v>
      </c>
      <c r="N34" s="63">
        <f t="shared" si="17"/>
        <v>1</v>
      </c>
      <c r="O34" s="56">
        <f t="shared" si="5"/>
        <v>3340023.4742403198</v>
      </c>
      <c r="P34" s="54">
        <f t="shared" si="0"/>
        <v>-1801665.559140211</v>
      </c>
      <c r="Q34" s="54">
        <f t="shared" si="18"/>
        <v>61940600.252988786</v>
      </c>
      <c r="R34" s="63">
        <f t="shared" si="19"/>
        <v>11</v>
      </c>
      <c r="S34" s="56">
        <f t="shared" si="6"/>
        <v>8166419.1386485929</v>
      </c>
      <c r="T34" s="54">
        <f t="shared" si="20"/>
        <v>3221404.692666214</v>
      </c>
      <c r="U34" s="63">
        <f t="shared" si="21"/>
        <v>1</v>
      </c>
      <c r="V34" s="63">
        <f t="shared" si="21"/>
        <v>1</v>
      </c>
      <c r="W34" s="63">
        <f t="shared" ref="W34" si="42">W33-1</f>
        <v>1</v>
      </c>
      <c r="X34" s="56">
        <f t="shared" si="7"/>
        <v>3340023.4742403198</v>
      </c>
      <c r="Y34" s="54">
        <f t="shared" si="22"/>
        <v>12769715.161628807</v>
      </c>
      <c r="Z34" s="63">
        <f t="shared" si="23"/>
        <v>1</v>
      </c>
      <c r="AA34" s="56">
        <f t="shared" si="8"/>
        <v>13239922.477390775</v>
      </c>
      <c r="AB34" s="54">
        <f t="shared" si="24"/>
        <v>9124855.0355657209</v>
      </c>
      <c r="AC34" s="63">
        <f t="shared" si="25"/>
        <v>1</v>
      </c>
      <c r="AD34" s="55">
        <f t="shared" si="9"/>
        <v>9460851.0651312843</v>
      </c>
      <c r="AE34" s="73"/>
      <c r="AF34" s="49"/>
      <c r="AO34" s="216">
        <v>500000</v>
      </c>
    </row>
    <row r="35" spans="1:41" s="50" customFormat="1" x14ac:dyDescent="0.25">
      <c r="A35" s="49">
        <f t="shared" si="1"/>
        <v>21</v>
      </c>
      <c r="B35" s="56"/>
      <c r="C35" s="56"/>
      <c r="D35" s="54">
        <f t="shared" si="10"/>
        <v>84405737.313500822</v>
      </c>
      <c r="E35" s="63">
        <f t="shared" si="11"/>
        <v>10</v>
      </c>
      <c r="F35" s="56">
        <f t="shared" si="2"/>
        <v>12701508.799200814</v>
      </c>
      <c r="G35" s="54">
        <f t="shared" si="12"/>
        <v>86947543.321016505</v>
      </c>
      <c r="H35" s="63">
        <f t="shared" si="13"/>
        <v>10</v>
      </c>
      <c r="I35" s="56">
        <f t="shared" si="3"/>
        <v>10845793.273286399</v>
      </c>
      <c r="J35" s="54">
        <f t="shared" si="14"/>
        <v>0</v>
      </c>
      <c r="K35" s="63">
        <f t="shared" si="15"/>
        <v>9</v>
      </c>
      <c r="L35" s="55">
        <f t="shared" si="4"/>
        <v>0</v>
      </c>
      <c r="M35" s="54">
        <f>M34*1.075-O34*1.075^0.5</f>
        <v>6.5658241510391235E-8</v>
      </c>
      <c r="N35" s="63">
        <f t="shared" si="17"/>
        <v>0</v>
      </c>
      <c r="O35" s="56">
        <f t="shared" si="5"/>
        <v>0</v>
      </c>
      <c r="P35" s="54">
        <f t="shared" si="0"/>
        <v>-1855715.5259144157</v>
      </c>
      <c r="Q35" s="54">
        <f t="shared" si="18"/>
        <v>58119021.695198961</v>
      </c>
      <c r="R35" s="63">
        <f t="shared" si="19"/>
        <v>10</v>
      </c>
      <c r="S35" s="56">
        <f t="shared" si="6"/>
        <v>8166419.1386485919</v>
      </c>
      <c r="T35" s="54">
        <f t="shared" si="20"/>
        <v>6.5658241510391235E-8</v>
      </c>
      <c r="U35" s="63">
        <f t="shared" si="21"/>
        <v>0</v>
      </c>
      <c r="V35" s="63">
        <f t="shared" si="21"/>
        <v>0</v>
      </c>
      <c r="W35" s="63"/>
      <c r="X35" s="56">
        <f t="shared" si="7"/>
        <v>0</v>
      </c>
      <c r="Y35" s="54">
        <v>0</v>
      </c>
      <c r="Z35" s="63"/>
      <c r="AA35" s="56"/>
      <c r="AB35" s="54">
        <f t="shared" si="24"/>
        <v>0</v>
      </c>
      <c r="AC35" s="63">
        <f t="shared" si="25"/>
        <v>0</v>
      </c>
      <c r="AD35" s="55">
        <v>0</v>
      </c>
      <c r="AE35" s="73"/>
      <c r="AF35" s="49"/>
      <c r="AO35" s="216">
        <v>500000</v>
      </c>
    </row>
    <row r="36" spans="1:41" s="50" customFormat="1" x14ac:dyDescent="0.25">
      <c r="A36" s="49">
        <f t="shared" si="1"/>
        <v>22</v>
      </c>
      <c r="B36" s="56"/>
      <c r="C36" s="56"/>
      <c r="D36" s="54">
        <f t="shared" si="10"/>
        <v>77566962.996343195</v>
      </c>
      <c r="E36" s="63">
        <f t="shared" si="11"/>
        <v>9</v>
      </c>
      <c r="F36" s="56">
        <f t="shared" si="2"/>
        <v>13082554.063176837</v>
      </c>
      <c r="G36" s="54">
        <f t="shared" si="12"/>
        <v>82223451.263001755</v>
      </c>
      <c r="H36" s="63">
        <f t="shared" si="13"/>
        <v>9</v>
      </c>
      <c r="I36" s="56">
        <f t="shared" si="3"/>
        <v>11171167.071484989</v>
      </c>
      <c r="J36" s="54">
        <f t="shared" si="14"/>
        <v>0</v>
      </c>
      <c r="K36" s="63">
        <f t="shared" si="15"/>
        <v>8</v>
      </c>
      <c r="L36" s="55">
        <f t="shared" si="4"/>
        <v>0</v>
      </c>
      <c r="M36" s="54"/>
      <c r="N36" s="63"/>
      <c r="O36" s="56"/>
      <c r="P36" s="54">
        <f t="shared" si="0"/>
        <v>-1911386.9916918483</v>
      </c>
      <c r="Q36" s="54">
        <f t="shared" si="18"/>
        <v>54010824.745574899</v>
      </c>
      <c r="R36" s="63">
        <f t="shared" si="19"/>
        <v>9</v>
      </c>
      <c r="S36" s="56">
        <f t="shared" si="6"/>
        <v>8166419.1386485919</v>
      </c>
      <c r="T36" s="361"/>
      <c r="U36" s="121"/>
      <c r="V36" s="121"/>
      <c r="W36" s="121"/>
      <c r="X36" s="121"/>
      <c r="Y36" s="361"/>
      <c r="Z36" s="121"/>
      <c r="AA36" s="121"/>
      <c r="AB36" s="361"/>
      <c r="AC36" s="63"/>
      <c r="AD36" s="55"/>
      <c r="AE36" s="73"/>
      <c r="AF36" s="49"/>
      <c r="AO36" s="216">
        <v>500000</v>
      </c>
    </row>
    <row r="37" spans="1:41" s="50" customFormat="1" x14ac:dyDescent="0.25">
      <c r="A37" s="49">
        <f t="shared" si="1"/>
        <v>23</v>
      </c>
      <c r="B37" s="56"/>
      <c r="C37" s="56"/>
      <c r="D37" s="54">
        <f t="shared" si="10"/>
        <v>69820204.466928646</v>
      </c>
      <c r="E37" s="63">
        <f t="shared" si="11"/>
        <v>8</v>
      </c>
      <c r="F37" s="56">
        <f t="shared" si="2"/>
        <v>13475030.685072143</v>
      </c>
      <c r="G37" s="54">
        <f t="shared" si="12"/>
        <v>76807697.566423178</v>
      </c>
      <c r="H37" s="63">
        <f t="shared" si="13"/>
        <v>8</v>
      </c>
      <c r="I37" s="56">
        <f t="shared" si="3"/>
        <v>11506302.083629539</v>
      </c>
      <c r="J37" s="54">
        <f t="shared" si="14"/>
        <v>0</v>
      </c>
      <c r="K37" s="63">
        <f t="shared" si="15"/>
        <v>7</v>
      </c>
      <c r="L37" s="55">
        <f t="shared" si="4"/>
        <v>0</v>
      </c>
      <c r="M37" s="54"/>
      <c r="N37" s="63"/>
      <c r="O37" s="56"/>
      <c r="P37" s="54">
        <f t="shared" si="0"/>
        <v>-1968728.6014426034</v>
      </c>
      <c r="Q37" s="54">
        <f t="shared" si="18"/>
        <v>49594513.024729036</v>
      </c>
      <c r="R37" s="63">
        <f t="shared" si="19"/>
        <v>8</v>
      </c>
      <c r="S37" s="56">
        <f t="shared" si="6"/>
        <v>8166419.1386485938</v>
      </c>
      <c r="T37" s="361"/>
      <c r="U37" s="121"/>
      <c r="V37" s="121"/>
      <c r="W37" s="121"/>
      <c r="X37" s="121"/>
      <c r="Y37" s="361"/>
      <c r="Z37" s="121"/>
      <c r="AA37" s="121"/>
      <c r="AB37" s="361"/>
      <c r="AC37" s="63"/>
      <c r="AD37" s="55"/>
      <c r="AE37" s="73"/>
      <c r="AF37" s="49"/>
      <c r="AO37" s="216">
        <v>500000</v>
      </c>
    </row>
    <row r="38" spans="1:41" s="50" customFormat="1" x14ac:dyDescent="0.25">
      <c r="A38" s="49">
        <f t="shared" si="1"/>
        <v>24</v>
      </c>
      <c r="B38" s="56"/>
      <c r="C38" s="56"/>
      <c r="D38" s="54">
        <f t="shared" si="10"/>
        <v>61085510.625183798</v>
      </c>
      <c r="E38" s="63">
        <f t="shared" si="11"/>
        <v>7</v>
      </c>
      <c r="F38" s="56">
        <f t="shared" si="2"/>
        <v>13879281.605624309</v>
      </c>
      <c r="G38" s="54">
        <f t="shared" si="12"/>
        <v>70638286.966362089</v>
      </c>
      <c r="H38" s="63">
        <f t="shared" si="13"/>
        <v>7</v>
      </c>
      <c r="I38" s="56">
        <f t="shared" si="3"/>
        <v>11851491.146138426</v>
      </c>
      <c r="J38" s="54">
        <f t="shared" si="14"/>
        <v>0</v>
      </c>
      <c r="K38" s="63">
        <f t="shared" si="15"/>
        <v>6</v>
      </c>
      <c r="L38" s="55">
        <f t="shared" si="4"/>
        <v>0</v>
      </c>
      <c r="M38" s="54"/>
      <c r="N38" s="63"/>
      <c r="O38" s="56"/>
      <c r="P38" s="54">
        <f t="shared" si="0"/>
        <v>-2027790.4594858829</v>
      </c>
      <c r="Q38" s="54">
        <f t="shared" si="18"/>
        <v>44846977.92481973</v>
      </c>
      <c r="R38" s="63">
        <f t="shared" si="19"/>
        <v>7</v>
      </c>
      <c r="S38" s="56">
        <f t="shared" si="6"/>
        <v>8166419.1386485947</v>
      </c>
      <c r="T38" s="361"/>
      <c r="U38" s="121"/>
      <c r="V38" s="121"/>
      <c r="W38" s="121"/>
      <c r="X38" s="121"/>
      <c r="Y38" s="361"/>
      <c r="Z38" s="121"/>
      <c r="AA38" s="121"/>
      <c r="AB38" s="361"/>
      <c r="AC38" s="63"/>
      <c r="AD38" s="55"/>
      <c r="AE38" s="73"/>
      <c r="AF38" s="49"/>
      <c r="AO38" s="216">
        <v>500000</v>
      </c>
    </row>
    <row r="39" spans="1:41" s="50" customFormat="1" x14ac:dyDescent="0.25">
      <c r="A39" s="49">
        <f t="shared" si="1"/>
        <v>25</v>
      </c>
      <c r="B39" s="56"/>
      <c r="C39" s="56"/>
      <c r="D39" s="54">
        <f t="shared" si="10"/>
        <v>51276578.470005147</v>
      </c>
      <c r="E39" s="63">
        <f t="shared" si="11"/>
        <v>6</v>
      </c>
      <c r="F39" s="56">
        <f t="shared" si="2"/>
        <v>14295660.053793035</v>
      </c>
      <c r="G39" s="54">
        <f t="shared" si="12"/>
        <v>63648270.933770128</v>
      </c>
      <c r="H39" s="63">
        <f t="shared" si="13"/>
        <v>6</v>
      </c>
      <c r="I39" s="56">
        <f t="shared" si="3"/>
        <v>12207035.880522579</v>
      </c>
      <c r="J39" s="54">
        <f t="shared" si="14"/>
        <v>0</v>
      </c>
      <c r="K39" s="63">
        <f t="shared" si="15"/>
        <v>5</v>
      </c>
      <c r="L39" s="55">
        <f t="shared" si="4"/>
        <v>0</v>
      </c>
      <c r="M39" s="54"/>
      <c r="N39" s="63"/>
      <c r="O39" s="56"/>
      <c r="P39" s="54">
        <f t="shared" si="0"/>
        <v>-2088624.1732704565</v>
      </c>
      <c r="Q39" s="54">
        <f t="shared" si="18"/>
        <v>39743377.692417227</v>
      </c>
      <c r="R39" s="63">
        <f t="shared" si="19"/>
        <v>6</v>
      </c>
      <c r="S39" s="56">
        <f t="shared" si="6"/>
        <v>8166419.1386485947</v>
      </c>
      <c r="T39" s="361"/>
      <c r="U39" s="121"/>
      <c r="V39" s="121"/>
      <c r="W39" s="121"/>
      <c r="X39" s="121"/>
      <c r="Y39" s="361"/>
      <c r="Z39" s="121"/>
      <c r="AA39" s="121"/>
      <c r="AB39" s="361"/>
      <c r="AC39" s="63"/>
      <c r="AD39" s="55"/>
      <c r="AE39" s="73"/>
      <c r="AF39" s="49"/>
      <c r="AO39" s="216">
        <v>500000</v>
      </c>
    </row>
    <row r="40" spans="1:41" s="50" customFormat="1" x14ac:dyDescent="0.25">
      <c r="A40" s="49">
        <f t="shared" si="1"/>
        <v>26</v>
      </c>
      <c r="B40" s="56"/>
      <c r="C40" s="56"/>
      <c r="D40" s="54">
        <f t="shared" si="10"/>
        <v>40300266.039626077</v>
      </c>
      <c r="E40" s="65">
        <f t="shared" si="11"/>
        <v>5</v>
      </c>
      <c r="F40" s="56">
        <f t="shared" si="2"/>
        <v>14724529.855406826</v>
      </c>
      <c r="G40" s="54">
        <f t="shared" si="12"/>
        <v>55765367.0720817</v>
      </c>
      <c r="H40" s="63">
        <f t="shared" si="13"/>
        <v>5</v>
      </c>
      <c r="I40" s="56">
        <f t="shared" si="3"/>
        <v>12573246.956938259</v>
      </c>
      <c r="J40" s="54">
        <f t="shared" si="14"/>
        <v>0</v>
      </c>
      <c r="K40" s="63">
        <f t="shared" si="15"/>
        <v>4</v>
      </c>
      <c r="L40" s="55">
        <f t="shared" si="4"/>
        <v>0</v>
      </c>
      <c r="M40" s="54"/>
      <c r="N40" s="65"/>
      <c r="O40" s="56"/>
      <c r="P40" s="54">
        <f t="shared" si="0"/>
        <v>-2151282.8984685671</v>
      </c>
      <c r="Q40" s="54">
        <f t="shared" si="18"/>
        <v>34257007.442584537</v>
      </c>
      <c r="R40" s="63">
        <f t="shared" si="19"/>
        <v>5</v>
      </c>
      <c r="S40" s="56">
        <f t="shared" si="6"/>
        <v>8166419.1386485938</v>
      </c>
      <c r="T40" s="361"/>
      <c r="U40" s="121"/>
      <c r="V40" s="121"/>
      <c r="W40" s="121"/>
      <c r="X40" s="121"/>
      <c r="Y40" s="361"/>
      <c r="Z40" s="121"/>
      <c r="AA40" s="121"/>
      <c r="AB40" s="361"/>
      <c r="AC40" s="63"/>
      <c r="AD40" s="55"/>
      <c r="AE40" s="73"/>
      <c r="AF40" s="49"/>
      <c r="AO40" s="216">
        <v>500000</v>
      </c>
    </row>
    <row r="41" spans="1:41" s="50" customFormat="1" x14ac:dyDescent="0.25">
      <c r="A41" s="49">
        <f t="shared" si="1"/>
        <v>27</v>
      </c>
      <c r="B41" s="56"/>
      <c r="C41" s="56"/>
      <c r="D41" s="54">
        <f t="shared" si="10"/>
        <v>28056068.5024997</v>
      </c>
      <c r="E41" s="63">
        <f t="shared" si="11"/>
        <v>4</v>
      </c>
      <c r="F41" s="56">
        <f t="shared" si="2"/>
        <v>12133012.600855228</v>
      </c>
      <c r="G41" s="54">
        <f t="shared" si="12"/>
        <v>46911549.695315003</v>
      </c>
      <c r="H41" s="63">
        <f t="shared" si="13"/>
        <v>4</v>
      </c>
      <c r="I41" s="56">
        <f t="shared" si="3"/>
        <v>12950444.365646403</v>
      </c>
      <c r="J41" s="54">
        <f t="shared" si="14"/>
        <v>0</v>
      </c>
      <c r="K41" s="63">
        <f t="shared" si="15"/>
        <v>3</v>
      </c>
      <c r="L41" s="55">
        <f t="shared" si="4"/>
        <v>0</v>
      </c>
      <c r="M41" s="54"/>
      <c r="N41" s="63"/>
      <c r="O41" s="56"/>
      <c r="P41" s="54">
        <f t="shared" si="0"/>
        <v>817431.76479117572</v>
      </c>
      <c r="Q41" s="54">
        <f t="shared" si="18"/>
        <v>28359159.424014397</v>
      </c>
      <c r="R41" s="63">
        <f t="shared" si="19"/>
        <v>4</v>
      </c>
      <c r="S41" s="56">
        <f t="shared" si="6"/>
        <v>8166419.1386485975</v>
      </c>
      <c r="T41" s="361"/>
      <c r="U41" s="121"/>
      <c r="V41" s="121"/>
      <c r="W41" s="121"/>
      <c r="X41" s="121"/>
      <c r="Y41" s="361"/>
      <c r="Z41" s="121"/>
      <c r="AA41" s="121"/>
      <c r="AB41" s="361"/>
      <c r="AC41" s="63"/>
      <c r="AD41" s="55"/>
      <c r="AE41" s="73"/>
      <c r="AF41" s="49"/>
      <c r="AO41" s="216">
        <v>500000</v>
      </c>
    </row>
    <row r="42" spans="1:41" s="50" customFormat="1" x14ac:dyDescent="0.25">
      <c r="A42" s="49">
        <f t="shared" si="1"/>
        <v>28</v>
      </c>
      <c r="B42" s="56"/>
      <c r="C42" s="56"/>
      <c r="D42" s="54">
        <f t="shared" si="10"/>
        <v>17580498.428346142</v>
      </c>
      <c r="E42" s="63">
        <f t="shared" si="11"/>
        <v>3</v>
      </c>
      <c r="F42" s="56">
        <f t="shared" si="2"/>
        <v>9372752.2341606617</v>
      </c>
      <c r="G42" s="54">
        <f t="shared" si="12"/>
        <v>37002609.418075621</v>
      </c>
      <c r="H42" s="63">
        <f t="shared" si="13"/>
        <v>3</v>
      </c>
      <c r="I42" s="56">
        <f t="shared" si="3"/>
        <v>13338957.696615797</v>
      </c>
      <c r="J42" s="54">
        <f t="shared" si="14"/>
        <v>0</v>
      </c>
      <c r="K42" s="63">
        <f t="shared" si="15"/>
        <v>2</v>
      </c>
      <c r="L42" s="55">
        <f t="shared" si="4"/>
        <v>0</v>
      </c>
      <c r="M42" s="54"/>
      <c r="N42" s="63"/>
      <c r="O42" s="56"/>
      <c r="P42" s="54">
        <f t="shared" si="0"/>
        <v>3966205.4624551348</v>
      </c>
      <c r="Q42" s="54">
        <f t="shared" si="18"/>
        <v>22018972.804051489</v>
      </c>
      <c r="R42" s="63">
        <f t="shared" si="19"/>
        <v>3</v>
      </c>
      <c r="S42" s="56">
        <f t="shared" si="6"/>
        <v>8166419.1386485966</v>
      </c>
      <c r="T42" s="361"/>
      <c r="U42" s="121"/>
      <c r="V42" s="121"/>
      <c r="W42" s="121"/>
      <c r="X42" s="121"/>
      <c r="Y42" s="361"/>
      <c r="Z42" s="121"/>
      <c r="AA42" s="121"/>
      <c r="AB42" s="361"/>
      <c r="AC42" s="63"/>
      <c r="AD42" s="55"/>
      <c r="AE42" s="73"/>
      <c r="AF42" s="49"/>
      <c r="AO42" s="216">
        <v>500000</v>
      </c>
    </row>
    <row r="43" spans="1:41" x14ac:dyDescent="0.25">
      <c r="A43" s="49">
        <f t="shared" si="1"/>
        <v>29</v>
      </c>
      <c r="B43" s="56"/>
      <c r="C43" s="56"/>
      <c r="D43" s="54">
        <f t="shared" si="10"/>
        <v>9181159.4593249056</v>
      </c>
      <c r="E43" s="63">
        <f t="shared" si="11"/>
        <v>2</v>
      </c>
      <c r="F43" s="56">
        <f t="shared" si="2"/>
        <v>6435956.5341236545</v>
      </c>
      <c r="G43" s="54">
        <f t="shared" si="12"/>
        <v>25947679.424911648</v>
      </c>
      <c r="H43" s="63">
        <f t="shared" si="13"/>
        <v>2</v>
      </c>
      <c r="I43" s="56">
        <f t="shared" si="3"/>
        <v>13739126.42751427</v>
      </c>
      <c r="J43" s="54">
        <f t="shared" si="14"/>
        <v>0</v>
      </c>
      <c r="K43" s="63">
        <f t="shared" si="15"/>
        <v>1</v>
      </c>
      <c r="L43" s="55">
        <f t="shared" si="4"/>
        <v>0</v>
      </c>
      <c r="M43" s="54"/>
      <c r="N43" s="63"/>
      <c r="O43" s="56"/>
      <c r="P43" s="54">
        <f t="shared" si="0"/>
        <v>7303169.8933906155</v>
      </c>
      <c r="Q43" s="54">
        <f t="shared" si="18"/>
        <v>15203272.187591366</v>
      </c>
      <c r="R43" s="63">
        <f t="shared" si="19"/>
        <v>2</v>
      </c>
      <c r="S43" s="56">
        <f t="shared" si="6"/>
        <v>8166419.1386485985</v>
      </c>
      <c r="T43" s="361"/>
      <c r="U43" s="52"/>
      <c r="V43" s="52"/>
      <c r="W43" s="52"/>
      <c r="X43" s="52"/>
      <c r="Y43" s="361"/>
      <c r="Z43" s="52"/>
      <c r="AA43" s="52"/>
      <c r="AB43" s="361"/>
      <c r="AC43" s="63"/>
      <c r="AD43" s="55"/>
      <c r="AO43" s="216">
        <v>500000</v>
      </c>
    </row>
    <row r="44" spans="1:41" x14ac:dyDescent="0.25">
      <c r="A44" s="49">
        <f t="shared" si="1"/>
        <v>30</v>
      </c>
      <c r="B44" s="111"/>
      <c r="C44" s="111"/>
      <c r="D44" s="54">
        <f t="shared" si="10"/>
        <v>3196804.6576531986</v>
      </c>
      <c r="E44" s="63">
        <f t="shared" si="11"/>
        <v>1</v>
      </c>
      <c r="F44" s="56">
        <f t="shared" si="2"/>
        <v>3314517.6150736818</v>
      </c>
      <c r="G44" s="54">
        <f t="shared" si="12"/>
        <v>13648725.911274789</v>
      </c>
      <c r="H44" s="63">
        <f t="shared" si="13"/>
        <v>1</v>
      </c>
      <c r="I44" s="56">
        <f t="shared" si="3"/>
        <v>14151300.220339702</v>
      </c>
      <c r="J44" s="54"/>
      <c r="K44" s="63"/>
      <c r="L44" s="55"/>
      <c r="M44" s="54"/>
      <c r="N44" s="63"/>
      <c r="O44" s="56"/>
      <c r="P44" s="54">
        <f t="shared" si="0"/>
        <v>10836782.60526602</v>
      </c>
      <c r="Q44" s="54">
        <f t="shared" si="18"/>
        <v>7876394.0248967335</v>
      </c>
      <c r="R44" s="63">
        <f t="shared" si="19"/>
        <v>1</v>
      </c>
      <c r="S44" s="56">
        <f t="shared" si="6"/>
        <v>8166419.1386485994</v>
      </c>
      <c r="T44" s="361"/>
      <c r="U44" s="52"/>
      <c r="V44" s="52"/>
      <c r="W44" s="52"/>
      <c r="X44" s="52"/>
      <c r="Y44" s="361"/>
      <c r="Z44" s="52"/>
      <c r="AA44" s="52"/>
      <c r="AB44" s="361"/>
      <c r="AC44" s="63"/>
      <c r="AD44" s="55"/>
      <c r="AO44" s="216">
        <v>500000</v>
      </c>
    </row>
    <row r="45" spans="1:41" x14ac:dyDescent="0.25">
      <c r="B45" s="56"/>
      <c r="C45" s="56"/>
      <c r="D45" s="57">
        <v>0</v>
      </c>
      <c r="E45" s="68"/>
      <c r="F45" s="59"/>
      <c r="G45" s="57">
        <v>0</v>
      </c>
      <c r="H45" s="68"/>
      <c r="I45" s="59"/>
      <c r="J45" s="60"/>
      <c r="K45" s="61"/>
      <c r="L45" s="62"/>
      <c r="M45" s="57"/>
      <c r="N45" s="68"/>
      <c r="O45" s="59"/>
      <c r="P45" s="57"/>
      <c r="Q45" s="57">
        <v>0</v>
      </c>
      <c r="R45" s="68"/>
      <c r="S45" s="59"/>
      <c r="T45" s="57"/>
      <c r="U45" s="68"/>
      <c r="V45" s="68"/>
      <c r="W45" s="68"/>
      <c r="X45" s="59"/>
      <c r="Y45" s="57"/>
      <c r="Z45" s="68"/>
      <c r="AA45" s="59"/>
      <c r="AB45" s="57"/>
      <c r="AC45" s="68"/>
      <c r="AD45" s="58"/>
    </row>
    <row r="46" spans="1:41" hidden="1" x14ac:dyDescent="0.25">
      <c r="B46" s="47"/>
      <c r="C46" s="47"/>
      <c r="Y46" s="349"/>
      <c r="Z46" s="349"/>
      <c r="AA46" s="349"/>
    </row>
    <row r="47" spans="1:41" x14ac:dyDescent="0.25">
      <c r="B47" s="48"/>
      <c r="C47" s="48"/>
      <c r="D47" s="48"/>
      <c r="E47" s="48"/>
      <c r="F47" s="48">
        <f>SUM(F15:F46)</f>
        <v>287887828.67991424</v>
      </c>
      <c r="G47" s="48" t="s">
        <v>184</v>
      </c>
      <c r="H47" s="48"/>
      <c r="I47" s="48">
        <f>SUM(I15:I46)</f>
        <v>285692881.88713223</v>
      </c>
      <c r="J47" s="48"/>
      <c r="K47" s="48"/>
      <c r="L47" s="48"/>
      <c r="M47" s="48"/>
      <c r="N47" s="48"/>
      <c r="O47" s="48">
        <f>SUM(O15:O46)</f>
        <v>203840005.81932887</v>
      </c>
      <c r="P47" s="47"/>
      <c r="Q47" s="48" t="s">
        <v>184</v>
      </c>
      <c r="R47" s="48"/>
      <c r="S47" s="48">
        <f>SUM(S15:S46)</f>
        <v>244992574.15945783</v>
      </c>
      <c r="U47" s="362" t="s">
        <v>184</v>
      </c>
      <c r="V47" s="362"/>
      <c r="W47" s="362"/>
      <c r="X47" s="48">
        <f>SUM(X15:X46)</f>
        <v>203840005.81932887</v>
      </c>
      <c r="Z47" s="362" t="s">
        <v>184</v>
      </c>
      <c r="AA47" s="48">
        <f>SUM(AA15:AA46)</f>
        <v>202885912.22611389</v>
      </c>
      <c r="AB47" s="48" t="s">
        <v>184</v>
      </c>
      <c r="AC47" s="48"/>
      <c r="AD47" s="48">
        <f>SUM(AD15:AD46)</f>
        <v>189217021.30262554</v>
      </c>
    </row>
    <row r="48" spans="1:41" x14ac:dyDescent="0.25">
      <c r="F48" s="363">
        <f>NPV(0.03,F15:F44)</f>
        <v>177519858.30703765</v>
      </c>
      <c r="G48" s="339" t="s">
        <v>185</v>
      </c>
      <c r="I48" s="363">
        <f>NPV(0.03,I15:I44)</f>
        <v>174904449.62143454</v>
      </c>
      <c r="N48" s="106"/>
      <c r="O48" s="48">
        <f>NPV(0.03,O15:O34)</f>
        <v>147943201.28800568</v>
      </c>
      <c r="Q48" s="339" t="s">
        <v>185</v>
      </c>
      <c r="S48" s="363">
        <f>NPV(0.03,S15:S44)</f>
        <v>160065419.36226916</v>
      </c>
      <c r="U48" s="106" t="s">
        <v>185</v>
      </c>
      <c r="V48" s="106"/>
      <c r="W48" s="106"/>
      <c r="X48" s="363">
        <f>NPV(0.03,X15:X34)</f>
        <v>147943201.28800568</v>
      </c>
      <c r="Z48" s="106" t="s">
        <v>185</v>
      </c>
      <c r="AA48" s="363">
        <f>NPV(0.03,AA15:AA34)</f>
        <v>146612481.26075882</v>
      </c>
      <c r="AB48" s="339" t="s">
        <v>185</v>
      </c>
      <c r="AD48" s="363">
        <f>NPV(0.03,AD15:AD44)</f>
        <v>140753573.88000426</v>
      </c>
    </row>
    <row r="49" spans="1:41" x14ac:dyDescent="0.25">
      <c r="E49" s="106"/>
      <c r="F49" s="48"/>
      <c r="N49" s="106"/>
      <c r="O49" s="48"/>
      <c r="Y49" s="349"/>
      <c r="Z49" s="349"/>
      <c r="AA49" s="349"/>
      <c r="AB49" s="349"/>
      <c r="AC49" s="349"/>
      <c r="AD49" s="349"/>
      <c r="AO49" s="49"/>
    </row>
    <row r="50" spans="1:41" x14ac:dyDescent="0.25">
      <c r="E50" s="106"/>
      <c r="F50" s="48"/>
      <c r="G50" s="364" t="s">
        <v>186</v>
      </c>
      <c r="N50" s="106"/>
      <c r="O50" s="48"/>
      <c r="Y50" s="349"/>
      <c r="Z50" s="349"/>
      <c r="AA50" s="365"/>
      <c r="AB50" s="349"/>
      <c r="AC50" s="366" t="s">
        <v>187</v>
      </c>
      <c r="AD50" s="349"/>
      <c r="AO50" s="49"/>
    </row>
    <row r="51" spans="1:41" x14ac:dyDescent="0.25">
      <c r="N51" s="106"/>
      <c r="O51" s="50"/>
      <c r="T51" s="367"/>
      <c r="AB51" s="106"/>
      <c r="AE51" s="49"/>
      <c r="AH51" s="368"/>
      <c r="AO51" s="49"/>
    </row>
    <row r="52" spans="1:41" x14ac:dyDescent="0.25">
      <c r="A52" s="215"/>
      <c r="B52" s="52"/>
      <c r="C52" s="52"/>
      <c r="E52" s="28" t="s">
        <v>211</v>
      </c>
      <c r="F52" s="369">
        <f>F47/D15</f>
        <v>2.8788782867991425</v>
      </c>
      <c r="G52" s="339"/>
      <c r="H52" s="339"/>
      <c r="I52" s="369">
        <f>I47/G15</f>
        <v>2.8569288188713222</v>
      </c>
      <c r="J52" s="339"/>
      <c r="K52" s="339"/>
      <c r="L52" s="339"/>
      <c r="M52" s="339"/>
      <c r="N52" s="339"/>
      <c r="O52" s="370">
        <f>O47/M15</f>
        <v>2.0384000581932886</v>
      </c>
      <c r="P52" s="339"/>
      <c r="Q52" s="339"/>
      <c r="R52" s="339"/>
      <c r="S52" s="369">
        <f>S47/Q15</f>
        <v>2.4499257415945785</v>
      </c>
      <c r="T52" s="367"/>
      <c r="X52" s="369">
        <f>X47/T15</f>
        <v>2.0384000581932886</v>
      </c>
      <c r="AA52" s="369">
        <f>AA47/Y15</f>
        <v>2.0288591222611387</v>
      </c>
      <c r="AD52" s="369">
        <f>AD47/AB15</f>
        <v>1.8921702130262554</v>
      </c>
      <c r="AE52" s="371"/>
      <c r="AO52" s="49"/>
    </row>
    <row r="53" spans="1:41" x14ac:dyDescent="0.25">
      <c r="A53" s="215"/>
      <c r="B53" s="52"/>
      <c r="C53" s="52"/>
      <c r="D53" s="52"/>
      <c r="E53" s="28" t="s">
        <v>189</v>
      </c>
      <c r="F53" s="372">
        <f>(F47-D15)/D15</f>
        <v>1.8788782867991423</v>
      </c>
      <c r="G53" s="339"/>
      <c r="H53" s="339"/>
      <c r="I53" s="372">
        <f>(I47-G15)/G15</f>
        <v>1.8569288188713222</v>
      </c>
      <c r="J53" s="339"/>
      <c r="K53" s="339"/>
      <c r="L53" s="339"/>
      <c r="M53" s="339"/>
      <c r="N53" s="339"/>
      <c r="O53" s="339"/>
      <c r="P53" s="339"/>
      <c r="Q53" s="339"/>
      <c r="R53" s="339"/>
      <c r="S53" s="372">
        <f>(S47-Q15)/Q15</f>
        <v>1.4499257415945783</v>
      </c>
      <c r="T53" s="367"/>
      <c r="X53" s="372">
        <f>(X47-T15)/T15</f>
        <v>1.0384000581932888</v>
      </c>
      <c r="AA53" s="372">
        <f>(AA47-Y15)/Y15</f>
        <v>1.028859122261139</v>
      </c>
      <c r="AD53" s="372">
        <f>(AD47-AB15)/AB15</f>
        <v>0.89217021302625532</v>
      </c>
      <c r="AE53" s="371"/>
      <c r="AO53" s="49"/>
    </row>
    <row r="54" spans="1:41" x14ac:dyDescent="0.25">
      <c r="A54" s="215"/>
      <c r="B54" s="52"/>
      <c r="C54" s="52"/>
      <c r="D54" s="52"/>
      <c r="E54" s="28" t="s">
        <v>190</v>
      </c>
      <c r="F54" s="372">
        <f>(F47-D15)/F47</f>
        <v>0.65264248767118183</v>
      </c>
      <c r="I54" s="372">
        <f>(I47-G15)/I47</f>
        <v>0.64997377834738401</v>
      </c>
      <c r="S54" s="372">
        <f>(S47-Q15)/S47</f>
        <v>0.5918243630726816</v>
      </c>
      <c r="T54" s="367"/>
      <c r="X54" s="372">
        <f>(X47-T15)/X47</f>
        <v>0.50941916628164841</v>
      </c>
      <c r="AA54" s="372">
        <f>(AA47-Y15)/AA47</f>
        <v>0.50711215528581788</v>
      </c>
      <c r="AD54" s="372">
        <f>(AD47-AB15)/AD47</f>
        <v>0.47150631950777666</v>
      </c>
      <c r="AE54" s="371"/>
      <c r="AO54" s="49"/>
    </row>
    <row r="55" spans="1:41" x14ac:dyDescent="0.25">
      <c r="A55" s="215">
        <v>-1</v>
      </c>
      <c r="B55" s="52"/>
      <c r="C55" s="52"/>
      <c r="D55" s="52"/>
      <c r="E55" s="52"/>
      <c r="F55" s="346"/>
      <c r="G55" s="1" t="s">
        <v>191</v>
      </c>
      <c r="T55" s="106"/>
      <c r="X55" s="373"/>
      <c r="AB55" s="106"/>
      <c r="AD55" s="374"/>
      <c r="AE55" s="375"/>
      <c r="AF55" s="368"/>
      <c r="AG55" s="368"/>
      <c r="AO55" s="49"/>
    </row>
    <row r="56" spans="1:41" x14ac:dyDescent="0.25">
      <c r="A56" s="215">
        <v>1</v>
      </c>
      <c r="B56" s="52"/>
      <c r="C56" s="52"/>
      <c r="D56" s="52"/>
      <c r="E56" s="52"/>
      <c r="F56" s="52"/>
      <c r="G56" s="56"/>
      <c r="H56" s="49" t="s">
        <v>152</v>
      </c>
      <c r="T56" s="106"/>
      <c r="X56" s="373"/>
      <c r="AB56" s="106"/>
      <c r="AD56" s="376"/>
      <c r="AO56" s="49"/>
    </row>
    <row r="57" spans="1:41" x14ac:dyDescent="0.25">
      <c r="G57" s="274"/>
      <c r="H57" s="49" t="s">
        <v>153</v>
      </c>
      <c r="AB57" s="106"/>
      <c r="AD57" s="376"/>
      <c r="AO57" s="49"/>
    </row>
    <row r="58" spans="1:41" x14ac:dyDescent="0.25">
      <c r="G58" s="56"/>
      <c r="H58" s="49" t="s">
        <v>154</v>
      </c>
      <c r="AB58" s="106"/>
      <c r="AE58" s="49"/>
      <c r="AO58" s="49"/>
    </row>
    <row r="59" spans="1:41" x14ac:dyDescent="0.25">
      <c r="G59" s="106"/>
      <c r="AE59" s="49"/>
      <c r="AO59" s="49"/>
    </row>
    <row r="60" spans="1:41" x14ac:dyDescent="0.25">
      <c r="AB60" s="106"/>
      <c r="AD60" s="376"/>
      <c r="AE60" s="49"/>
      <c r="AO60" s="49"/>
    </row>
    <row r="61" spans="1:41" x14ac:dyDescent="0.25">
      <c r="AB61" s="106"/>
      <c r="AC61" s="349"/>
      <c r="AE61" s="49"/>
      <c r="AO61" s="49"/>
    </row>
    <row r="62" spans="1:41" x14ac:dyDescent="0.25">
      <c r="I62" s="50"/>
      <c r="AB62" s="106"/>
      <c r="AE62" s="49"/>
      <c r="AO62" s="49"/>
    </row>
    <row r="63" spans="1:41" x14ac:dyDescent="0.25">
      <c r="I63" s="51"/>
      <c r="AE63" s="49"/>
      <c r="AO63" s="49"/>
    </row>
    <row r="64" spans="1:41" x14ac:dyDescent="0.25">
      <c r="AC64" s="1"/>
      <c r="AE64" s="49"/>
      <c r="AO64" s="49"/>
    </row>
    <row r="65" spans="28:41" x14ac:dyDescent="0.25">
      <c r="AB65" s="106"/>
      <c r="AE65" s="49"/>
      <c r="AO65" s="49"/>
    </row>
    <row r="66" spans="28:41" x14ac:dyDescent="0.25">
      <c r="AB66" s="106"/>
      <c r="AE66" s="49"/>
      <c r="AO66" s="49"/>
    </row>
    <row r="67" spans="28:41" x14ac:dyDescent="0.25">
      <c r="AB67" s="106"/>
      <c r="AE67" s="49"/>
      <c r="AO67" s="49"/>
    </row>
    <row r="68" spans="28:41" x14ac:dyDescent="0.25">
      <c r="AB68" s="106"/>
      <c r="AE68" s="49"/>
      <c r="AO68" s="49"/>
    </row>
    <row r="70" spans="28:41" x14ac:dyDescent="0.25">
      <c r="AB70" s="106"/>
      <c r="AC70" s="358"/>
      <c r="AE70" s="49"/>
      <c r="AO70" s="49"/>
    </row>
  </sheetData>
  <mergeCells count="15">
    <mergeCell ref="A1:AD1"/>
    <mergeCell ref="AF7:AK7"/>
    <mergeCell ref="D11:F11"/>
    <mergeCell ref="G11:I11"/>
    <mergeCell ref="M11:O11"/>
    <mergeCell ref="T11:X11"/>
    <mergeCell ref="T12:AD12"/>
    <mergeCell ref="D13:F13"/>
    <mergeCell ref="G13:I13"/>
    <mergeCell ref="J13:L13"/>
    <mergeCell ref="M13:O13"/>
    <mergeCell ref="Q13:S13"/>
    <mergeCell ref="T13:X13"/>
    <mergeCell ref="Y13:AA13"/>
    <mergeCell ref="AB13:AD13"/>
  </mergeCells>
  <conditionalFormatting sqref="G16 D16:D44 M16:M19">
    <cfRule type="cellIs" dxfId="607" priority="27" operator="greaterThanOrEqual">
      <formula>D15</formula>
    </cfRule>
    <cfRule type="cellIs" dxfId="606" priority="28" operator="greaterThan">
      <formula>D$15</formula>
    </cfRule>
    <cfRule type="cellIs" dxfId="605" priority="29" operator="lessThanOrEqual">
      <formula>D$15</formula>
    </cfRule>
  </conditionalFormatting>
  <conditionalFormatting sqref="G17:G44">
    <cfRule type="cellIs" dxfId="604" priority="24" operator="greaterThanOrEqual">
      <formula>G16</formula>
    </cfRule>
    <cfRule type="cellIs" dxfId="603" priority="25" operator="greaterThan">
      <formula>G$15</formula>
    </cfRule>
    <cfRule type="cellIs" dxfId="602" priority="26" operator="lessThanOrEqual">
      <formula>G$15</formula>
    </cfRule>
  </conditionalFormatting>
  <conditionalFormatting sqref="G56">
    <cfRule type="cellIs" dxfId="601" priority="30" operator="greaterThanOrEqual">
      <formula>A52</formula>
    </cfRule>
    <cfRule type="cellIs" dxfId="600" priority="31" operator="greaterThan">
      <formula>A55</formula>
    </cfRule>
    <cfRule type="cellIs" dxfId="599" priority="32" operator="lessThanOrEqual">
      <formula>51</formula>
    </cfRule>
  </conditionalFormatting>
  <conditionalFormatting sqref="M20:M35">
    <cfRule type="cellIs" dxfId="598" priority="22" operator="greaterThan">
      <formula>M$15</formula>
    </cfRule>
    <cfRule type="cellIs" dxfId="597" priority="23" operator="lessThanOrEqual">
      <formula>M$15</formula>
    </cfRule>
  </conditionalFormatting>
  <conditionalFormatting sqref="G58">
    <cfRule type="cellIs" dxfId="596" priority="33" operator="greaterThanOrEqual">
      <formula>A56</formula>
    </cfRule>
    <cfRule type="cellIs" dxfId="595" priority="34" operator="greaterThan">
      <formula>G56</formula>
    </cfRule>
    <cfRule type="cellIs" dxfId="594" priority="35" operator="lessThanOrEqual">
      <formula>51</formula>
    </cfRule>
  </conditionalFormatting>
  <conditionalFormatting sqref="Y16">
    <cfRule type="cellIs" dxfId="593" priority="19" operator="greaterThanOrEqual">
      <formula>Y15</formula>
    </cfRule>
    <cfRule type="cellIs" dxfId="592" priority="20" operator="greaterThan">
      <formula>Y$15</formula>
    </cfRule>
    <cfRule type="cellIs" dxfId="591" priority="21" operator="lessThanOrEqual">
      <formula>Y$15</formula>
    </cfRule>
  </conditionalFormatting>
  <conditionalFormatting sqref="Y17:Y35">
    <cfRule type="cellIs" dxfId="590" priority="16" operator="greaterThanOrEqual">
      <formula>Y16</formula>
    </cfRule>
    <cfRule type="cellIs" dxfId="589" priority="17" operator="greaterThan">
      <formula>Y$15</formula>
    </cfRule>
    <cfRule type="cellIs" dxfId="588" priority="18" operator="lessThanOrEqual">
      <formula>Y$15</formula>
    </cfRule>
  </conditionalFormatting>
  <conditionalFormatting sqref="Q16">
    <cfRule type="cellIs" dxfId="587" priority="13" operator="greaterThanOrEqual">
      <formula>Q15</formula>
    </cfRule>
    <cfRule type="cellIs" dxfId="586" priority="14" operator="greaterThan">
      <formula>Q$15</formula>
    </cfRule>
    <cfRule type="cellIs" dxfId="585" priority="15" operator="lessThanOrEqual">
      <formula>Q$15</formula>
    </cfRule>
  </conditionalFormatting>
  <conditionalFormatting sqref="Q17:Q44">
    <cfRule type="cellIs" dxfId="584" priority="10" operator="greaterThanOrEqual">
      <formula>Q16</formula>
    </cfRule>
    <cfRule type="cellIs" dxfId="583" priority="11" operator="greaterThan">
      <formula>Q$15</formula>
    </cfRule>
    <cfRule type="cellIs" dxfId="582" priority="12" operator="lessThanOrEqual">
      <formula>Q$15</formula>
    </cfRule>
  </conditionalFormatting>
  <conditionalFormatting sqref="AB16">
    <cfRule type="cellIs" dxfId="581" priority="7" operator="greaterThanOrEqual">
      <formula>AB15</formula>
    </cfRule>
    <cfRule type="cellIs" dxfId="580" priority="8" operator="greaterThan">
      <formula>AB$15</formula>
    </cfRule>
    <cfRule type="cellIs" dxfId="579" priority="9" operator="lessThanOrEqual">
      <formula>AB$15</formula>
    </cfRule>
  </conditionalFormatting>
  <conditionalFormatting sqref="T16:T35">
    <cfRule type="cellIs" dxfId="578" priority="4" operator="greaterThanOrEqual">
      <formula>T15</formula>
    </cfRule>
    <cfRule type="cellIs" dxfId="577" priority="5" operator="greaterThan">
      <formula>T$15</formula>
    </cfRule>
    <cfRule type="cellIs" dxfId="576" priority="6" operator="lessThanOrEqual">
      <formula>T$15</formula>
    </cfRule>
  </conditionalFormatting>
  <conditionalFormatting sqref="AB17:AB35">
    <cfRule type="cellIs" dxfId="575" priority="1" operator="greaterThanOrEqual">
      <formula>AB16</formula>
    </cfRule>
    <cfRule type="cellIs" dxfId="574" priority="2" operator="greaterThan">
      <formula>AB$15</formula>
    </cfRule>
    <cfRule type="cellIs" dxfId="573" priority="3" operator="lessThanOrEqual">
      <formula>AB$15</formula>
    </cfRule>
  </conditionalFormatting>
  <pageMargins left="0" right="0" top="0.75" bottom="0.75" header="0.3" footer="0.3"/>
  <pageSetup scale="5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48"/>
  <sheetViews>
    <sheetView workbookViewId="0">
      <selection activeCell="H36" sqref="H36"/>
    </sheetView>
  </sheetViews>
  <sheetFormatPr defaultRowHeight="15" x14ac:dyDescent="0.25"/>
  <cols>
    <col min="4" max="4" width="14.28515625" bestFit="1" customWidth="1"/>
    <col min="5" max="5" width="16" bestFit="1" customWidth="1"/>
    <col min="6" max="7" width="14.28515625" bestFit="1" customWidth="1"/>
    <col min="8" max="8" width="12.5703125" bestFit="1" customWidth="1"/>
    <col min="11" max="11" width="15.28515625" bestFit="1" customWidth="1"/>
    <col min="12" max="12" width="14.28515625" bestFit="1" customWidth="1"/>
    <col min="13" max="13" width="14.28515625" style="49" bestFit="1" customWidth="1"/>
    <col min="14" max="14" width="15.28515625" bestFit="1" customWidth="1"/>
    <col min="16" max="16" width="12.28515625" bestFit="1" customWidth="1"/>
  </cols>
  <sheetData>
    <row r="4" spans="1:17" x14ac:dyDescent="0.25">
      <c r="A4" s="49"/>
      <c r="B4" s="49"/>
      <c r="C4" s="49"/>
      <c r="D4" s="49"/>
      <c r="E4" s="49"/>
      <c r="Q4" t="s">
        <v>224</v>
      </c>
    </row>
    <row r="5" spans="1:17" ht="28.5" x14ac:dyDescent="0.45">
      <c r="A5" s="49"/>
      <c r="B5" s="49"/>
      <c r="C5" s="49" t="s">
        <v>166</v>
      </c>
      <c r="D5" s="466" t="s">
        <v>209</v>
      </c>
      <c r="E5" s="466"/>
    </row>
    <row r="6" spans="1:17" x14ac:dyDescent="0.25">
      <c r="A6" s="49"/>
      <c r="B6" s="49" t="s">
        <v>161</v>
      </c>
      <c r="C6" s="49" t="s">
        <v>165</v>
      </c>
      <c r="D6" s="576" t="s">
        <v>59</v>
      </c>
      <c r="E6" s="577"/>
      <c r="F6" s="578"/>
      <c r="K6" s="576" t="s">
        <v>49</v>
      </c>
      <c r="L6" s="577"/>
      <c r="M6" s="578"/>
    </row>
    <row r="7" spans="1:17" ht="15.75" x14ac:dyDescent="0.25">
      <c r="A7" s="49"/>
      <c r="B7" s="49" t="s">
        <v>162</v>
      </c>
      <c r="C7" s="49" t="s">
        <v>162</v>
      </c>
      <c r="D7" s="468" t="s">
        <v>169</v>
      </c>
      <c r="E7" s="468" t="s">
        <v>197</v>
      </c>
      <c r="F7" s="468" t="s">
        <v>219</v>
      </c>
      <c r="K7" s="468" t="s">
        <v>169</v>
      </c>
      <c r="L7" s="468" t="s">
        <v>197</v>
      </c>
      <c r="M7" s="468" t="s">
        <v>219</v>
      </c>
    </row>
    <row r="8" spans="1:17" x14ac:dyDescent="0.25">
      <c r="A8" s="49"/>
      <c r="B8" s="49"/>
      <c r="C8" s="49"/>
      <c r="D8" s="49"/>
      <c r="E8" s="49"/>
      <c r="G8" t="s">
        <v>225</v>
      </c>
      <c r="K8" t="s">
        <v>68</v>
      </c>
    </row>
    <row r="9" spans="1:17" ht="15.75" thickBot="1" x14ac:dyDescent="0.3">
      <c r="A9" s="49"/>
      <c r="B9" s="49"/>
      <c r="C9" s="49"/>
      <c r="D9" s="396" t="s">
        <v>33</v>
      </c>
      <c r="E9" s="396" t="s">
        <v>33</v>
      </c>
      <c r="F9" s="396" t="s">
        <v>33</v>
      </c>
      <c r="K9" s="396" t="s">
        <v>33</v>
      </c>
      <c r="L9" s="396" t="s">
        <v>33</v>
      </c>
      <c r="M9" s="396" t="s">
        <v>33</v>
      </c>
    </row>
    <row r="10" spans="1:17" ht="16.5" thickTop="1" thickBot="1" x14ac:dyDescent="0.3">
      <c r="A10" s="49">
        <v>1</v>
      </c>
      <c r="B10" s="49">
        <v>2015</v>
      </c>
      <c r="C10" s="49">
        <v>2018</v>
      </c>
      <c r="D10" s="465">
        <f>'Total Curr w2016 Loss'!AA16</f>
        <v>25045775.982986491</v>
      </c>
      <c r="E10" s="465">
        <f>'Total Alt Schedule @ 7%'!AA16</f>
        <v>30470113.894000754</v>
      </c>
      <c r="F10" s="465">
        <f>'Total Alt Sched @ 6.5%'!AO16</f>
        <v>34662906.94296661</v>
      </c>
      <c r="G10" s="469">
        <f>-PMT(1.075-1,O10,N10*1.075^0.5,0,1)</f>
        <v>41086550.878997132</v>
      </c>
      <c r="H10" s="470">
        <f>G10-D10</f>
        <v>16040774.896010641</v>
      </c>
      <c r="J10" s="49">
        <v>2018</v>
      </c>
      <c r="K10" s="473">
        <f>'Total Curr w2016 Loss'!Y16</f>
        <v>341111128.70063865</v>
      </c>
      <c r="L10" s="473">
        <f>'Total Alt Schedule @ 7%'!Y16</f>
        <v>371856729.09223366</v>
      </c>
      <c r="M10" s="473">
        <f>'Total Alt Sched @ 6.5%'!AM16</f>
        <v>436202985.07175374</v>
      </c>
      <c r="N10" s="471">
        <v>434279649.85544401</v>
      </c>
      <c r="O10" s="245">
        <v>20</v>
      </c>
    </row>
    <row r="11" spans="1:17" ht="15.75" thickTop="1" x14ac:dyDescent="0.25">
      <c r="A11" s="49">
        <v>2</v>
      </c>
      <c r="B11" s="49">
        <f>B10+1</f>
        <v>2016</v>
      </c>
      <c r="C11" s="49">
        <v>2019</v>
      </c>
      <c r="D11" s="465">
        <f>'Total Curr w2016 Loss'!AA17</f>
        <v>26802189.242117766</v>
      </c>
      <c r="E11" s="465">
        <f>'Total Alt Schedule @ 7%'!AA17</f>
        <v>31384217.310820784</v>
      </c>
      <c r="F11" s="465">
        <f>'Total Alt Sched @ 6.5%'!AO17</f>
        <v>35702794.151255608</v>
      </c>
      <c r="G11" s="469">
        <f t="shared" ref="G11:G26" si="0">-PMT(1.075-1,O11,N11*1.075^0.5,0,1)</f>
        <v>41086550.878997132</v>
      </c>
      <c r="H11" s="368"/>
      <c r="J11" s="49">
        <v>2019</v>
      </c>
      <c r="K11" s="473">
        <f>'Total Curr w2016 Loss'!Y17</f>
        <v>367205316.48542702</v>
      </c>
      <c r="L11" s="473">
        <f>'Total Alt Schedule @ 7%'!Y17</f>
        <v>367685784.02256763</v>
      </c>
      <c r="M11" s="473">
        <f>'Total Alt Sched @ 6.5%'!AM17</f>
        <v>431420174.13775355</v>
      </c>
      <c r="N11" s="472">
        <f t="shared" ref="N11:N30" si="1">N10*1.075-G10*1.075^0.5</f>
        <v>424251180.95896029</v>
      </c>
      <c r="O11" s="63">
        <f>O10-1</f>
        <v>19</v>
      </c>
    </row>
    <row r="12" spans="1:17" x14ac:dyDescent="0.25">
      <c r="A12" s="49">
        <v>3</v>
      </c>
      <c r="B12" s="49">
        <f t="shared" ref="B12:B39" si="2">B11+1</f>
        <v>2017</v>
      </c>
      <c r="C12" s="49">
        <v>2020</v>
      </c>
      <c r="D12" s="465">
        <f>'Total Curr w2016 Loss'!AA18</f>
        <v>28628586.436755985</v>
      </c>
      <c r="E12" s="465">
        <f>'Total Alt Schedule @ 7%'!AA18</f>
        <v>32325743.8301454</v>
      </c>
      <c r="F12" s="465">
        <f>'Total Alt Sched @ 6.5%'!AO18</f>
        <v>36773877.97579328</v>
      </c>
      <c r="G12" s="469">
        <f t="shared" si="0"/>
        <v>41086550.878997125</v>
      </c>
      <c r="H12" s="368"/>
      <c r="J12" s="49">
        <v>2020</v>
      </c>
      <c r="K12" s="473">
        <f>'Total Curr w2016 Loss'!Y18</f>
        <v>366452604.42382401</v>
      </c>
      <c r="L12" s="473">
        <f>'Total Alt Schedule @ 7%'!Y18</f>
        <v>362257195.01925772</v>
      </c>
      <c r="M12" s="473">
        <f>'Total Alt Sched @ 6.5%'!AM18</f>
        <v>425213078.51705289</v>
      </c>
      <c r="N12" s="472">
        <f t="shared" si="1"/>
        <v>413470576.89524031</v>
      </c>
      <c r="O12" s="63">
        <f t="shared" ref="O12:O30" si="3">O11-1</f>
        <v>18</v>
      </c>
    </row>
    <row r="13" spans="1:17" x14ac:dyDescent="0.25">
      <c r="A13" s="49">
        <v>4</v>
      </c>
      <c r="B13" s="49">
        <f t="shared" si="2"/>
        <v>2018</v>
      </c>
      <c r="C13" s="49">
        <v>2021</v>
      </c>
      <c r="D13" s="465">
        <f>'Total Curr w2016 Loss'!AA19</f>
        <v>30491471.021183539</v>
      </c>
      <c r="E13" s="465">
        <f>'Total Alt Schedule @ 7%'!AA19</f>
        <v>33295516.145049766</v>
      </c>
      <c r="F13" s="465">
        <f>'Total Alt Sched @ 6.5%'!AO19</f>
        <v>37877094.315067075</v>
      </c>
      <c r="G13" s="469">
        <f t="shared" si="0"/>
        <v>41086550.878997132</v>
      </c>
      <c r="H13" s="368"/>
      <c r="J13" s="49">
        <v>2021</v>
      </c>
      <c r="K13" s="473">
        <f>'Total Curr w2016 Loss'!Y19</f>
        <v>364251050.24551433</v>
      </c>
      <c r="L13" s="473">
        <f>'Total Alt Schedule @ 7%'!Y19</f>
        <v>355449482.90141702</v>
      </c>
      <c r="M13" s="473">
        <f>'Total Alt Sched @ 6.5%'!AM19</f>
        <v>417446768.50870538</v>
      </c>
      <c r="N13" s="472">
        <f t="shared" si="1"/>
        <v>401881427.52674133</v>
      </c>
      <c r="O13" s="63">
        <f t="shared" si="3"/>
        <v>17</v>
      </c>
    </row>
    <row r="14" spans="1:17" x14ac:dyDescent="0.25">
      <c r="A14" s="49">
        <v>5</v>
      </c>
      <c r="B14" s="49">
        <f t="shared" si="2"/>
        <v>2019</v>
      </c>
      <c r="C14" s="49">
        <v>2022</v>
      </c>
      <c r="D14" s="465">
        <f>'Total Curr w2016 Loss'!AA20</f>
        <v>33518716.707046639</v>
      </c>
      <c r="E14" s="465">
        <f>'Total Alt Schedule @ 7%'!AA20</f>
        <v>34294381.629401267</v>
      </c>
      <c r="F14" s="465">
        <f>'Total Alt Sched @ 6.5%'!AO20</f>
        <v>39013407.144519091</v>
      </c>
      <c r="G14" s="469">
        <f t="shared" si="0"/>
        <v>41086550.878997132</v>
      </c>
      <c r="H14" s="368"/>
      <c r="J14" s="49">
        <v>2022</v>
      </c>
      <c r="K14" s="473">
        <f>'Total Curr w2016 Loss'!Y20</f>
        <v>360370048.57055718</v>
      </c>
      <c r="L14" s="473">
        <f>'Total Alt Schedule @ 7%'!Y20</f>
        <v>347131326.08941782</v>
      </c>
      <c r="M14" s="473">
        <f>'Total Alt Sched @ 6.5%'!AM20</f>
        <v>407975602.26003647</v>
      </c>
      <c r="N14" s="472">
        <f t="shared" si="1"/>
        <v>389423091.95560491</v>
      </c>
      <c r="O14" s="63">
        <f t="shared" si="3"/>
        <v>16</v>
      </c>
    </row>
    <row r="15" spans="1:17" x14ac:dyDescent="0.25">
      <c r="A15" s="49">
        <v>6</v>
      </c>
      <c r="B15" s="49">
        <f t="shared" si="2"/>
        <v>2020</v>
      </c>
      <c r="C15" s="49">
        <v>2023</v>
      </c>
      <c r="D15" s="465">
        <f>'Total Curr w2016 Loss'!AA21</f>
        <v>36254845.861836992</v>
      </c>
      <c r="E15" s="465">
        <f>'Total Alt Schedule @ 7%'!AA21</f>
        <v>35323213.078283295</v>
      </c>
      <c r="F15" s="465">
        <f>'Total Alt Sched @ 6.5%'!AO21</f>
        <v>40183809.358854651</v>
      </c>
      <c r="G15" s="469">
        <f t="shared" si="0"/>
        <v>41086550.878997132</v>
      </c>
      <c r="H15" s="368"/>
      <c r="J15" s="49">
        <v>2023</v>
      </c>
      <c r="K15" s="473">
        <f>'Total Curr w2016 Loss'!Y21</f>
        <v>353047054.75703007</v>
      </c>
      <c r="L15" s="473">
        <f>'Total Alt Schedule @ 7%'!Y21</f>
        <v>337160806.30632949</v>
      </c>
      <c r="M15" s="473">
        <f>'Total Alt Sched @ 6.5%'!AM21</f>
        <v>396642420.88625044</v>
      </c>
      <c r="N15" s="472">
        <f t="shared" si="1"/>
        <v>376030381.21663326</v>
      </c>
      <c r="O15" s="63">
        <f t="shared" si="3"/>
        <v>15</v>
      </c>
    </row>
    <row r="16" spans="1:17" x14ac:dyDescent="0.25">
      <c r="A16" s="49">
        <v>7</v>
      </c>
      <c r="B16" s="49">
        <f t="shared" si="2"/>
        <v>2021</v>
      </c>
      <c r="C16" s="49">
        <v>2024</v>
      </c>
      <c r="D16" s="465">
        <f>'Total Curr w2016 Loss'!AA22</f>
        <v>37280769.161154374</v>
      </c>
      <c r="E16" s="465">
        <f>'Total Alt Schedule @ 7%'!AA22</f>
        <v>36382909.470631793</v>
      </c>
      <c r="F16" s="465">
        <f>'Total Alt Sched @ 6.5%'!AO22</f>
        <v>41389323.639620304</v>
      </c>
      <c r="G16" s="469">
        <f t="shared" si="0"/>
        <v>41086550.87899714</v>
      </c>
      <c r="H16" s="368"/>
      <c r="J16" s="49">
        <v>2024</v>
      </c>
      <c r="K16" s="473">
        <f>'Total Curr w2016 Loss'!Y22</f>
        <v>342337135.70698458</v>
      </c>
      <c r="L16" s="473">
        <f>'Total Alt Schedule @ 7%'!Y22</f>
        <v>325384597.6311633</v>
      </c>
      <c r="M16" s="473">
        <f>'Total Alt Sched @ 6.5%'!AM22</f>
        <v>383277684.2396785</v>
      </c>
      <c r="N16" s="472">
        <f t="shared" si="1"/>
        <v>361633217.17223877</v>
      </c>
      <c r="O16" s="63">
        <f t="shared" si="3"/>
        <v>14</v>
      </c>
    </row>
    <row r="17" spans="1:15" x14ac:dyDescent="0.25">
      <c r="A17" s="49">
        <v>8</v>
      </c>
      <c r="B17" s="49">
        <f t="shared" si="2"/>
        <v>2022</v>
      </c>
      <c r="C17" s="49">
        <v>2025</v>
      </c>
      <c r="D17" s="465">
        <f>'Total Curr w2016 Loss'!AA23</f>
        <v>38334754.006433606</v>
      </c>
      <c r="E17" s="465">
        <f>'Total Alt Schedule @ 7%'!AA23</f>
        <v>37474396.754750766</v>
      </c>
      <c r="F17" s="465">
        <f>'Total Alt Sched @ 6.5%'!AO23</f>
        <v>42631003.348808914</v>
      </c>
      <c r="G17" s="469">
        <f t="shared" si="0"/>
        <v>41086550.878997132</v>
      </c>
      <c r="H17" s="368"/>
      <c r="J17" s="49">
        <v>2025</v>
      </c>
      <c r="K17" s="473">
        <f>'Total Curr w2016 Loss'!Y23</f>
        <v>328888742.35388076</v>
      </c>
      <c r="L17" s="473">
        <f>'Total Alt Schedule @ 7%'!Y23</f>
        <v>311637094.68158257</v>
      </c>
      <c r="M17" s="473">
        <f>'Total Alt Sched @ 6.5%'!AM23</f>
        <v>367698542.97674465</v>
      </c>
      <c r="N17" s="472">
        <f t="shared" si="1"/>
        <v>346156265.82451469</v>
      </c>
      <c r="O17" s="63">
        <f t="shared" si="3"/>
        <v>13</v>
      </c>
    </row>
    <row r="18" spans="1:15" x14ac:dyDescent="0.25">
      <c r="A18" s="49">
        <v>9</v>
      </c>
      <c r="B18" s="49">
        <f t="shared" si="2"/>
        <v>2023</v>
      </c>
      <c r="C18" s="49">
        <v>2026</v>
      </c>
      <c r="D18" s="465">
        <f>'Total Curr w2016 Loss'!AA24</f>
        <v>39417537.193284698</v>
      </c>
      <c r="E18" s="465">
        <f>'Total Alt Schedule @ 7%'!AA24</f>
        <v>38598628.657393269</v>
      </c>
      <c r="F18" s="465">
        <f>'Total Alt Sched @ 6.5%'!AO24</f>
        <v>43909933.449273162</v>
      </c>
      <c r="G18" s="469">
        <f t="shared" si="0"/>
        <v>41086550.87899714</v>
      </c>
      <c r="H18" s="368"/>
      <c r="J18" s="49">
        <v>2026</v>
      </c>
      <c r="K18" s="473">
        <f>'Total Curr w2016 Loss'!Y24</f>
        <v>312725534.51631033</v>
      </c>
      <c r="L18" s="473">
        <f>'Total Alt Schedule @ 7%'!Y24</f>
        <v>295739475.38983941</v>
      </c>
      <c r="M18" s="473">
        <f>'Total Alt Sched @ 6.5%'!AM24</f>
        <v>349707842.25178957</v>
      </c>
      <c r="N18" s="472">
        <f t="shared" si="1"/>
        <v>329518543.12571126</v>
      </c>
      <c r="O18" s="63">
        <f t="shared" si="3"/>
        <v>12</v>
      </c>
    </row>
    <row r="19" spans="1:15" x14ac:dyDescent="0.25">
      <c r="A19" s="49">
        <v>10</v>
      </c>
      <c r="B19" s="49">
        <f t="shared" si="2"/>
        <v>2024</v>
      </c>
      <c r="C19" s="49">
        <v>2027</v>
      </c>
      <c r="D19" s="465">
        <f>'Total Curr w2016 Loss'!AA25</f>
        <v>40529874.26499857</v>
      </c>
      <c r="E19" s="465">
        <f>'Total Alt Schedule @ 7%'!AA25</f>
        <v>39756587.517115071</v>
      </c>
      <c r="F19" s="465">
        <f>'Total Alt Sched @ 6.5%'!AO25</f>
        <v>45227231.452751368</v>
      </c>
      <c r="G19" s="469">
        <f t="shared" si="0"/>
        <v>41086550.878997125</v>
      </c>
      <c r="H19" s="368"/>
      <c r="J19" s="49">
        <v>2027</v>
      </c>
      <c r="K19" s="473">
        <f>'Total Curr w2016 Loss'!Y25</f>
        <v>294255339.53603971</v>
      </c>
      <c r="L19" s="473">
        <f>'Total Alt Schedule @ 7%'!Y25</f>
        <v>277498693.49849856</v>
      </c>
      <c r="M19" s="473">
        <f>'Total Alt Sched @ 6.5%'!AM25</f>
        <v>329093052.02455091</v>
      </c>
      <c r="N19" s="472">
        <f t="shared" si="1"/>
        <v>311632991.22449762</v>
      </c>
      <c r="O19" s="63">
        <f t="shared" si="3"/>
        <v>11</v>
      </c>
    </row>
    <row r="20" spans="1:15" x14ac:dyDescent="0.25">
      <c r="A20" s="49">
        <v>11</v>
      </c>
      <c r="B20" s="49">
        <f t="shared" si="2"/>
        <v>2025</v>
      </c>
      <c r="C20" s="49">
        <v>2028</v>
      </c>
      <c r="D20" s="465">
        <f>'Total Curr w2016 Loss'!AA26</f>
        <v>41672539.99654571</v>
      </c>
      <c r="E20" s="465">
        <f>'Total Alt Schedule @ 7%'!AA26</f>
        <v>40949285.142628521</v>
      </c>
      <c r="F20" s="465">
        <f>'Total Alt Sched @ 6.5%'!AO26</f>
        <v>46584048.396333888</v>
      </c>
      <c r="G20" s="469">
        <f t="shared" si="0"/>
        <v>41086550.878997117</v>
      </c>
      <c r="H20" s="368"/>
      <c r="J20" s="49">
        <v>2028</v>
      </c>
      <c r="K20" s="473">
        <f>'Total Curr w2016 Loss'!Y26</f>
        <v>273281401.43525779</v>
      </c>
      <c r="L20" s="473">
        <f>'Total Alt Schedule @ 7%'!Y26</f>
        <v>256706395.54024324</v>
      </c>
      <c r="M20" s="473">
        <f>'Total Alt Sched @ 6.5%'!AM26</f>
        <v>305625118.60062969</v>
      </c>
      <c r="N20" s="472">
        <f t="shared" si="1"/>
        <v>292406022.93069291</v>
      </c>
      <c r="O20" s="63">
        <f t="shared" si="3"/>
        <v>10</v>
      </c>
    </row>
    <row r="21" spans="1:15" x14ac:dyDescent="0.25">
      <c r="A21" s="49">
        <v>12</v>
      </c>
      <c r="B21" s="49">
        <f t="shared" si="2"/>
        <v>2026</v>
      </c>
      <c r="C21" s="49">
        <v>2029</v>
      </c>
      <c r="D21" s="465">
        <f>'Total Curr w2016 Loss'!AA27</f>
        <v>42846328.892067149</v>
      </c>
      <c r="E21" s="465">
        <f>'Total Alt Schedule @ 7%'!AA27</f>
        <v>42177763.696907379</v>
      </c>
      <c r="F21" s="465">
        <f>'Total Alt Sched @ 6.5%'!AO27</f>
        <v>47981569.848223917</v>
      </c>
      <c r="G21" s="469">
        <f t="shared" si="0"/>
        <v>41086550.878997117</v>
      </c>
      <c r="H21" s="368"/>
      <c r="J21" s="49">
        <v>2029</v>
      </c>
      <c r="K21" s="473">
        <f>'Total Curr w2016 Loss'!Y27</f>
        <v>249592133.31137201</v>
      </c>
      <c r="L21" s="473">
        <f>'Total Alt Schedule @ 7%'!Y27</f>
        <v>233137756.67689437</v>
      </c>
      <c r="M21" s="473">
        <f>'Total Alt Sched @ 6.5%'!AM27</f>
        <v>279057231.62983155</v>
      </c>
      <c r="N21" s="472">
        <f t="shared" si="1"/>
        <v>271737032.01485288</v>
      </c>
      <c r="O21" s="63">
        <f t="shared" si="3"/>
        <v>9</v>
      </c>
    </row>
    <row r="22" spans="1:15" x14ac:dyDescent="0.25">
      <c r="A22" s="49">
        <v>13</v>
      </c>
      <c r="B22" s="49">
        <f t="shared" si="2"/>
        <v>2027</v>
      </c>
      <c r="C22" s="49">
        <v>2030</v>
      </c>
      <c r="D22" s="465">
        <f>'Total Curr w2016 Loss'!AA28</f>
        <v>44052055.69624573</v>
      </c>
      <c r="E22" s="465">
        <f>'Total Alt Schedule @ 7%'!AA28</f>
        <v>43443096.60781461</v>
      </c>
      <c r="F22" s="465">
        <f>'Total Alt Sched @ 6.5%'!AO28</f>
        <v>49421016.943670645</v>
      </c>
      <c r="G22" s="469">
        <f t="shared" si="0"/>
        <v>41086550.878997117</v>
      </c>
      <c r="H22" s="368"/>
      <c r="J22" s="49">
        <v>2030</v>
      </c>
      <c r="K22" s="473">
        <f>'Total Curr w2016 Loss'!Y28</f>
        <v>222960047.43208358</v>
      </c>
      <c r="L22" s="473">
        <f>'Total Alt Schedule @ 7%'!Y28</f>
        <v>206550229.3546856</v>
      </c>
      <c r="M22" s="473">
        <f>'Total Alt Sched @ 6.5%'!AM28</f>
        <v>249123500.36386788</v>
      </c>
      <c r="N22" s="472">
        <f t="shared" si="1"/>
        <v>249517866.78032485</v>
      </c>
      <c r="O22" s="63">
        <f t="shared" si="3"/>
        <v>8</v>
      </c>
    </row>
    <row r="23" spans="1:15" x14ac:dyDescent="0.25">
      <c r="A23" s="49">
        <v>14</v>
      </c>
      <c r="B23" s="49">
        <f t="shared" si="2"/>
        <v>2028</v>
      </c>
      <c r="C23" s="49">
        <v>2031</v>
      </c>
      <c r="D23" s="465">
        <f>'Total Curr w2016 Loss'!AA29</f>
        <v>45290555.919955045</v>
      </c>
      <c r="E23" s="465">
        <f>'Total Alt Schedule @ 7%'!AA29</f>
        <v>44746389.506049052</v>
      </c>
      <c r="F23" s="465">
        <f>'Total Alt Sched @ 6.5%'!AO29</f>
        <v>50903647.451980762</v>
      </c>
      <c r="G23" s="469">
        <f t="shared" si="0"/>
        <v>41086550.878997132</v>
      </c>
      <c r="H23" s="368"/>
      <c r="J23" s="49">
        <v>2031</v>
      </c>
      <c r="K23" s="473">
        <f>'Total Curr w2016 Loss'!Y29</f>
        <v>193140609.48491237</v>
      </c>
      <c r="L23" s="473">
        <f>'Total Alt Schedule @ 7%'!Y29</f>
        <v>176682198.28370243</v>
      </c>
      <c r="M23" s="473">
        <f>'Total Alt Sched @ 6.5%'!AM29</f>
        <v>215537532.52041602</v>
      </c>
      <c r="N23" s="472">
        <f t="shared" si="1"/>
        <v>225632264.15320724</v>
      </c>
      <c r="O23" s="63">
        <f t="shared" si="3"/>
        <v>7</v>
      </c>
    </row>
    <row r="24" spans="1:15" x14ac:dyDescent="0.25">
      <c r="A24" s="49">
        <v>15</v>
      </c>
      <c r="B24" s="49">
        <f t="shared" si="2"/>
        <v>2029</v>
      </c>
      <c r="C24" s="49">
        <v>2032</v>
      </c>
      <c r="D24" s="465">
        <f>'Total Curr w2016 Loss'!AA30</f>
        <v>46562686.380593009</v>
      </c>
      <c r="E24" s="465">
        <f>'Total Alt Schedule @ 7%'!AA30</f>
        <v>46088781.191230521</v>
      </c>
      <c r="F24" s="465">
        <f>'Total Alt Sched @ 6.5%'!AO30</f>
        <v>52430756.875540167</v>
      </c>
      <c r="G24" s="469">
        <f t="shared" si="0"/>
        <v>41086550.878997125</v>
      </c>
      <c r="H24" s="368"/>
      <c r="J24" s="49">
        <v>2032</v>
      </c>
      <c r="K24" s="473">
        <f>'Total Curr w2016 Loss'!Y30</f>
        <v>159871011.6434167</v>
      </c>
      <c r="L24" s="473">
        <f>'Total Alt Schedule @ 7%'!Y30</f>
        <v>143251534.76687908</v>
      </c>
      <c r="M24" s="473">
        <f>'Total Alt Sched @ 6.5%'!AM30</f>
        <v>177990908.61266738</v>
      </c>
      <c r="N24" s="472">
        <f t="shared" si="1"/>
        <v>199955241.32905579</v>
      </c>
      <c r="O24" s="63">
        <f t="shared" si="3"/>
        <v>6</v>
      </c>
    </row>
    <row r="25" spans="1:15" x14ac:dyDescent="0.25">
      <c r="A25" s="49">
        <v>16</v>
      </c>
      <c r="B25" s="49">
        <f t="shared" si="2"/>
        <v>2030</v>
      </c>
      <c r="C25" s="49">
        <v>2033</v>
      </c>
      <c r="D25" s="465">
        <f>'Total Curr w2016 Loss'!AA31</f>
        <v>47869325.757515691</v>
      </c>
      <c r="E25" s="465">
        <f>'Total Alt Schedule @ 7%'!AA31</f>
        <v>47471444.626967445</v>
      </c>
      <c r="F25" s="465">
        <f>'Total Alt Sched @ 6.5%'!AO31</f>
        <v>54003679.581806391</v>
      </c>
      <c r="G25" s="469">
        <f t="shared" si="0"/>
        <v>41086550.878997117</v>
      </c>
      <c r="H25" s="368"/>
      <c r="J25" s="49">
        <v>2033</v>
      </c>
      <c r="K25" s="473">
        <f>'Total Curr w2016 Loss'!Y31</f>
        <v>122868858.73785317</v>
      </c>
      <c r="L25" s="473">
        <f>'Total Alt Schedule @ 7%'!Y31</f>
        <v>105954042.88559826</v>
      </c>
      <c r="M25" s="473">
        <f>'Total Alt Sched @ 6.5%'!AM31</f>
        <v>136151544.07979918</v>
      </c>
      <c r="N25" s="472">
        <f t="shared" si="1"/>
        <v>172352441.793093</v>
      </c>
      <c r="O25" s="63">
        <f t="shared" si="3"/>
        <v>5</v>
      </c>
    </row>
    <row r="26" spans="1:15" x14ac:dyDescent="0.25">
      <c r="A26" s="49">
        <v>17</v>
      </c>
      <c r="B26" s="49">
        <f t="shared" si="2"/>
        <v>2031</v>
      </c>
      <c r="C26" s="49">
        <v>2034</v>
      </c>
      <c r="D26" s="465">
        <f>'Total Curr w2016 Loss'!AA32</f>
        <v>49211375.162997618</v>
      </c>
      <c r="E26" s="465">
        <f>'Total Alt Schedule @ 7%'!AA32</f>
        <v>48895587.965776488</v>
      </c>
      <c r="F26" s="465">
        <f>'Total Alt Sched @ 6.5%'!AO32</f>
        <v>55623789.969260588</v>
      </c>
      <c r="G26" s="469">
        <f t="shared" si="0"/>
        <v>41086550.878997125</v>
      </c>
      <c r="H26" s="368"/>
      <c r="J26" s="49">
        <v>2034</v>
      </c>
      <c r="K26" s="473">
        <f>'Total Curr w2016 Loss'!Y32</f>
        <v>81830761.417282075</v>
      </c>
      <c r="L26" s="473">
        <f>'Total Alt Schedule @ 7%'!Y32</f>
        <v>64461789.492071159</v>
      </c>
      <c r="M26" s="473">
        <f>'Total Alt Sched @ 6.5%'!AM32</f>
        <v>89661930.991634846</v>
      </c>
      <c r="N26" s="472">
        <f t="shared" si="1"/>
        <v>142679432.291933</v>
      </c>
      <c r="O26" s="63">
        <f t="shared" si="3"/>
        <v>4</v>
      </c>
    </row>
    <row r="27" spans="1:15" x14ac:dyDescent="0.25">
      <c r="A27" s="49">
        <v>18</v>
      </c>
      <c r="B27" s="49">
        <f t="shared" si="2"/>
        <v>2032</v>
      </c>
      <c r="C27" s="49">
        <v>2035</v>
      </c>
      <c r="D27" s="465">
        <f>'Total Curr w2016 Loss'!AA33</f>
        <v>6749709.9134872789</v>
      </c>
      <c r="E27" s="465">
        <f>'Total Alt Schedule @ 7%'!AA33</f>
        <v>6560510.8708915673</v>
      </c>
      <c r="F27" s="465">
        <f>'Total Alt Sched @ 6.5%'!AO33</f>
        <v>13490558.93448019</v>
      </c>
      <c r="G27" s="469"/>
      <c r="H27" s="368"/>
      <c r="J27" s="49">
        <v>2035</v>
      </c>
      <c r="K27" s="473">
        <f>'Total Curr w2016 Loss'!Y33</f>
        <v>36430829.761304393</v>
      </c>
      <c r="L27" s="473">
        <f>'Total Alt Schedule @ 7%'!Y33</f>
        <v>18421309.360440724</v>
      </c>
      <c r="M27" s="473">
        <f>'Total Alt Sched @ 6.5%'!AM33</f>
        <v>38137250.4972945</v>
      </c>
      <c r="N27" s="472">
        <f t="shared" si="1"/>
        <v>110780947.07818601</v>
      </c>
      <c r="O27" s="63">
        <f t="shared" si="3"/>
        <v>3</v>
      </c>
    </row>
    <row r="28" spans="1:15" x14ac:dyDescent="0.25">
      <c r="A28" s="49">
        <v>19</v>
      </c>
      <c r="B28" s="49">
        <f t="shared" si="2"/>
        <v>2033</v>
      </c>
      <c r="C28" s="49">
        <v>2036</v>
      </c>
      <c r="D28" s="465">
        <f>'Total Curr w2016 Loss'!AA34</f>
        <v>5324649.8295193911</v>
      </c>
      <c r="E28" s="465">
        <f>'Total Alt Schedule @ 7%'!AA34</f>
        <v>6757326.1970183151</v>
      </c>
      <c r="F28" s="465">
        <f>'Total Alt Sched @ 6.5%'!AO34</f>
        <v>13895275.702514591</v>
      </c>
      <c r="G28" s="469"/>
      <c r="H28" s="368"/>
      <c r="J28" s="49">
        <v>2036</v>
      </c>
      <c r="K28" s="473">
        <f>'Total Curr w2016 Loss'!Y34</f>
        <v>30451388.735848606</v>
      </c>
      <c r="L28" s="473">
        <f>'Total Alt Schedule @ 7%'!Y34</f>
        <v>12866499.112638876</v>
      </c>
      <c r="M28" s="473">
        <f>'Total Alt Sched @ 6.5%'!AM34</f>
        <v>26578169.446592622</v>
      </c>
      <c r="N28" s="472">
        <f t="shared" si="1"/>
        <v>119089518.10904995</v>
      </c>
      <c r="O28" s="63">
        <f t="shared" si="3"/>
        <v>2</v>
      </c>
    </row>
    <row r="29" spans="1:15" x14ac:dyDescent="0.25">
      <c r="A29" s="49">
        <v>20</v>
      </c>
      <c r="B29" s="49">
        <f t="shared" si="2"/>
        <v>2034</v>
      </c>
      <c r="C29" s="49">
        <v>2037</v>
      </c>
      <c r="D29" s="465">
        <f>'Total Curr w2016 Loss'!AA35</f>
        <v>3808011.4015912903</v>
      </c>
      <c r="E29" s="465">
        <f>'Total Alt Schedule @ 7%'!AA35</f>
        <v>6960045.9829288591</v>
      </c>
      <c r="F29" s="465">
        <f>'Total Alt Sched @ 6.5%'!AO35</f>
        <v>14312133.973590016</v>
      </c>
      <c r="G29" s="469"/>
      <c r="H29" s="368"/>
      <c r="J29" s="49">
        <v>2037</v>
      </c>
      <c r="K29" s="473">
        <f>'Total Curr w2016 Loss'!Y35</f>
        <v>24648247.004398748</v>
      </c>
      <c r="L29" s="473">
        <f>'Total Alt Schedule @ 7%'!Y35</f>
        <v>6740631.8092029039</v>
      </c>
      <c r="M29" s="473">
        <f>'Total Alt Sched @ 6.5%'!AM35</f>
        <v>13892752.882133888</v>
      </c>
      <c r="N29" s="472">
        <f t="shared" si="1"/>
        <v>128021231.96722868</v>
      </c>
      <c r="O29" s="63">
        <f t="shared" si="3"/>
        <v>1</v>
      </c>
    </row>
    <row r="30" spans="1:15" x14ac:dyDescent="0.25">
      <c r="A30" s="49">
        <v>21</v>
      </c>
      <c r="B30" s="49">
        <f t="shared" si="2"/>
        <v>2035</v>
      </c>
      <c r="C30" s="49">
        <v>2038</v>
      </c>
      <c r="D30" s="465">
        <f>'Total Curr w2016 Loss'!AA36</f>
        <v>2195582.483140938</v>
      </c>
      <c r="E30" s="465">
        <f>'Total Alt Schedule @ 7%'!AA36</f>
        <v>0</v>
      </c>
      <c r="F30" s="465">
        <f>'Total Alt Sched @ 6.5%'!AO36</f>
        <v>0</v>
      </c>
      <c r="G30" s="469"/>
      <c r="H30" s="368"/>
      <c r="J30" s="49">
        <v>2038</v>
      </c>
      <c r="K30" s="473">
        <f>'Total Curr w2016 Loss'!Y36</f>
        <v>20005379.864066087</v>
      </c>
      <c r="L30" s="473">
        <f>'Total Alt Schedule @ 7%'!Y36</f>
        <v>0</v>
      </c>
      <c r="M30" s="473">
        <f>'Total Alt Sched @ 6.5%'!AM36</f>
        <v>0</v>
      </c>
      <c r="N30" s="472">
        <f t="shared" si="1"/>
        <v>137622824.36477083</v>
      </c>
      <c r="O30" s="63">
        <f t="shared" si="3"/>
        <v>0</v>
      </c>
    </row>
    <row r="31" spans="1:15" x14ac:dyDescent="0.25">
      <c r="A31" s="49">
        <v>22</v>
      </c>
      <c r="B31" s="49">
        <f t="shared" si="2"/>
        <v>2036</v>
      </c>
      <c r="C31" s="49">
        <v>2039</v>
      </c>
      <c r="D31" s="465">
        <f>'Total Curr w2016 Loss'!AA37</f>
        <v>482980.61932212953</v>
      </c>
      <c r="E31" s="465">
        <f>'Total Alt Schedule @ 7%'!AA37</f>
        <v>0</v>
      </c>
      <c r="F31" s="465">
        <f>'Total Alt Sched @ 6.5%'!AO37</f>
        <v>0</v>
      </c>
      <c r="J31" s="49">
        <v>2039</v>
      </c>
      <c r="K31" s="473">
        <f>'Total Curr w2016 Loss'!Y37</f>
        <v>16516642.499801524</v>
      </c>
      <c r="L31" s="473">
        <f>'Total Alt Schedule @ 7%'!Y37</f>
        <v>0</v>
      </c>
      <c r="M31" s="473">
        <f>'Total Alt Sched @ 6.5%'!AM37</f>
        <v>0</v>
      </c>
      <c r="N31" s="375">
        <v>-47003683.588050626</v>
      </c>
    </row>
    <row r="32" spans="1:15" x14ac:dyDescent="0.25">
      <c r="A32" s="49">
        <v>23</v>
      </c>
      <c r="B32" s="49">
        <f t="shared" si="2"/>
        <v>2037</v>
      </c>
      <c r="C32" s="49">
        <v>2040</v>
      </c>
      <c r="D32" s="465">
        <f>'Total Curr w2016 Loss'!AA38</f>
        <v>497470.03790179268</v>
      </c>
      <c r="E32" s="465">
        <f>'Total Alt Schedule @ 7%'!AA38</f>
        <v>0</v>
      </c>
      <c r="F32" s="465">
        <f>'Total Alt Sched @ 6.5%'!AO38</f>
        <v>0</v>
      </c>
      <c r="J32" s="49">
        <v>2040</v>
      </c>
      <c r="K32" s="473">
        <f>'Total Curr w2016 Loss'!Y38</f>
        <v>14947292.50750396</v>
      </c>
      <c r="L32" s="473">
        <f>'Total Alt Schedule @ 7%'!Y38</f>
        <v>0</v>
      </c>
      <c r="M32" s="473">
        <f>'Total Alt Sched @ 6.5%'!AM38</f>
        <v>0</v>
      </c>
      <c r="N32" s="375">
        <v>-41123397.377053678</v>
      </c>
    </row>
    <row r="33" spans="1:14" x14ac:dyDescent="0.25">
      <c r="A33" s="49">
        <v>24</v>
      </c>
      <c r="B33" s="49">
        <f t="shared" si="2"/>
        <v>2038</v>
      </c>
      <c r="C33" s="49">
        <v>2041</v>
      </c>
      <c r="D33" s="465">
        <f>'Total Curr w2016 Loss'!AA39</f>
        <v>512394.13903884869</v>
      </c>
      <c r="E33" s="465">
        <f>'Total Alt Schedule @ 7%'!AA39</f>
        <v>0</v>
      </c>
      <c r="F33" s="465">
        <f>'Total Alt Sched @ 6.5%'!AO39</f>
        <v>0</v>
      </c>
      <c r="J33" s="49">
        <v>2041</v>
      </c>
      <c r="K33" s="473">
        <f>'Total Curr w2016 Loss'!Y39</f>
        <v>14464674.546735369</v>
      </c>
      <c r="L33" s="473">
        <f>'Total Alt Schedule @ 7%'!Y39</f>
        <v>0</v>
      </c>
      <c r="M33" s="473">
        <f>'Total Alt Sched @ 6.5%'!AM39</f>
        <v>0</v>
      </c>
      <c r="N33" s="375">
        <v>-34519922.825828925</v>
      </c>
    </row>
    <row r="34" spans="1:14" x14ac:dyDescent="0.25">
      <c r="A34" s="49">
        <v>25</v>
      </c>
      <c r="B34" s="49">
        <f t="shared" si="2"/>
        <v>2039</v>
      </c>
      <c r="C34" s="49">
        <v>2042</v>
      </c>
      <c r="D34" s="465">
        <f>'Total Curr w2016 Loss'!AA40</f>
        <v>527765.9632100137</v>
      </c>
      <c r="E34" s="465">
        <f>'Total Alt Schedule @ 7%'!AA40</f>
        <v>0</v>
      </c>
      <c r="F34" s="465">
        <f>'Total Alt Sched @ 6.5%'!AO40</f>
        <v>0</v>
      </c>
      <c r="J34" s="49">
        <v>2042</v>
      </c>
      <c r="K34" s="473">
        <f>'Total Curr w2016 Loss'!Y40</f>
        <v>14947177.146256115</v>
      </c>
      <c r="L34" s="473">
        <f>'Total Alt Schedule @ 7%'!Y40</f>
        <v>0</v>
      </c>
      <c r="M34" s="473">
        <f>'Total Alt Sched @ 6.5%'!AM40</f>
        <v>0</v>
      </c>
      <c r="N34" s="375">
        <v>-27130555.802627213</v>
      </c>
    </row>
    <row r="35" spans="1:14" x14ac:dyDescent="0.25">
      <c r="A35" s="49">
        <v>26</v>
      </c>
      <c r="B35" s="49">
        <f t="shared" si="2"/>
        <v>2040</v>
      </c>
      <c r="C35" s="49">
        <v>2043</v>
      </c>
      <c r="D35" s="465">
        <f>'Total Curr w2016 Loss'!AA41</f>
        <v>2468348.9959005918</v>
      </c>
      <c r="E35" s="465">
        <f>'Total Alt Schedule @ 7%'!AA41</f>
        <v>0</v>
      </c>
      <c r="F35" s="465">
        <f>'Total Alt Sched @ 6.5%'!AO41</f>
        <v>0</v>
      </c>
      <c r="J35" s="49">
        <v>2043</v>
      </c>
      <c r="K35" s="473">
        <f>'Total Curr w2016 Loss'!Y41</f>
        <v>15447554.189180791</v>
      </c>
      <c r="L35" s="473">
        <f>'Total Alt Schedule @ 7%'!Y41</f>
        <v>0</v>
      </c>
      <c r="M35" s="473">
        <f>'Total Alt Sched @ 6.5%'!AM41</f>
        <v>0</v>
      </c>
      <c r="N35" s="375">
        <v>-18887635.415631205</v>
      </c>
    </row>
    <row r="36" spans="1:14" x14ac:dyDescent="0.25">
      <c r="A36" s="49">
        <v>27</v>
      </c>
      <c r="B36" s="49">
        <f t="shared" si="2"/>
        <v>2041</v>
      </c>
      <c r="C36" s="49">
        <v>2044</v>
      </c>
      <c r="D36" s="465">
        <f>'Total Curr w2016 Loss'!AA42</f>
        <v>3698008.0249103205</v>
      </c>
      <c r="E36" s="465">
        <f>'Total Alt Schedule @ 7%'!AA42</f>
        <v>0</v>
      </c>
      <c r="F36" s="465">
        <f>'Total Alt Sched @ 6.5%'!AO42</f>
        <v>0</v>
      </c>
      <c r="J36" s="49">
        <v>2044</v>
      </c>
      <c r="K36" s="473">
        <f>'Total Curr w2016 Loss'!Y42</f>
        <v>13975602.927444577</v>
      </c>
      <c r="L36" s="473">
        <f>'Total Alt Schedule @ 7%'!Y42</f>
        <v>0</v>
      </c>
      <c r="M36" s="473">
        <f>'Total Alt Sched @ 6.5%'!AM42</f>
        <v>0</v>
      </c>
      <c r="N36" s="375">
        <v>-11835373.324316468</v>
      </c>
    </row>
    <row r="37" spans="1:14" x14ac:dyDescent="0.25">
      <c r="A37" s="49">
        <v>28</v>
      </c>
      <c r="B37" s="49">
        <f t="shared" si="2"/>
        <v>2042</v>
      </c>
      <c r="C37" s="49">
        <v>2045</v>
      </c>
      <c r="D37" s="465">
        <f>'Total Curr w2016 Loss'!AA43</f>
        <v>3693607.4421215127</v>
      </c>
      <c r="E37" s="465">
        <f>'Total Alt Schedule @ 7%'!AA43</f>
        <v>0</v>
      </c>
      <c r="F37" s="465">
        <f>'Total Alt Sched @ 6.5%'!AO43</f>
        <v>0</v>
      </c>
      <c r="J37" s="49">
        <v>2045</v>
      </c>
      <c r="K37" s="473">
        <f>'Total Curr w2016 Loss'!Y43</f>
        <v>11128645.887288693</v>
      </c>
      <c r="L37" s="473">
        <f>'Total Alt Schedule @ 7%'!Y43</f>
        <v>0</v>
      </c>
      <c r="M37" s="473">
        <f>'Total Alt Sched @ 6.5%'!AM43</f>
        <v>0</v>
      </c>
      <c r="N37" s="375">
        <v>-6180851.4812064385</v>
      </c>
    </row>
    <row r="38" spans="1:14" x14ac:dyDescent="0.25">
      <c r="A38" s="49">
        <v>29</v>
      </c>
      <c r="B38" s="49">
        <f t="shared" si="2"/>
        <v>2043</v>
      </c>
      <c r="C38" s="49">
        <v>2046</v>
      </c>
      <c r="D38" s="465">
        <f>'Total Curr w2016 Loss'!AA44</f>
        <v>3685614.6171429558</v>
      </c>
      <c r="E38" s="465">
        <f>'Total Alt Schedule @ 7%'!AA44</f>
        <v>0</v>
      </c>
      <c r="F38" s="465">
        <f>'Total Alt Sched @ 6.5%'!AO44</f>
        <v>0</v>
      </c>
      <c r="J38" s="49">
        <v>2046</v>
      </c>
      <c r="K38" s="473">
        <f>'Total Curr w2016 Loss'!Y44</f>
        <v>8086953.8525537541</v>
      </c>
      <c r="L38" s="473">
        <f>'Total Alt Schedule @ 7%'!Y44</f>
        <v>0</v>
      </c>
      <c r="M38" s="473">
        <f>'Total Alt Sched @ 6.5%'!AM44</f>
        <v>0</v>
      </c>
      <c r="N38" s="375">
        <v>-2152121.9504924035</v>
      </c>
    </row>
    <row r="39" spans="1:14" x14ac:dyDescent="0.25">
      <c r="A39" s="49">
        <v>30</v>
      </c>
      <c r="B39" s="49">
        <f t="shared" si="2"/>
        <v>2044</v>
      </c>
      <c r="C39" s="49">
        <v>2047</v>
      </c>
      <c r="D39" s="465">
        <f>'Total Curr w2016 Loss'!AA45</f>
        <v>3673817.9759677779</v>
      </c>
      <c r="E39" s="465">
        <f>'Total Alt Schedule @ 7%'!AA45</f>
        <v>0</v>
      </c>
      <c r="F39" s="465">
        <f>'Total Alt Sched @ 6.5%'!AO45</f>
        <v>0</v>
      </c>
      <c r="J39" s="49">
        <v>2047</v>
      </c>
      <c r="K39" s="473">
        <f>'Total Curr w2016 Loss'!Y45</f>
        <v>4840611.2178338747</v>
      </c>
      <c r="L39" s="473">
        <f>'Total Alt Schedule @ 7%'!Y45</f>
        <v>0</v>
      </c>
      <c r="M39" s="473">
        <f>'Total Alt Sched @ 6.5%'!AM45</f>
        <v>0</v>
      </c>
      <c r="N39" s="375">
        <v>0</v>
      </c>
    </row>
    <row r="40" spans="1:14" x14ac:dyDescent="0.25">
      <c r="A40" s="49">
        <f>A39+1</f>
        <v>31</v>
      </c>
      <c r="B40" s="49"/>
      <c r="C40" s="49">
        <v>2048</v>
      </c>
      <c r="D40" s="465">
        <f>'Total Curr w2016 Loss'!AA46</f>
        <v>1426683.6462954208</v>
      </c>
      <c r="E40" s="465">
        <f>'Total Alt Schedule @ 7%'!AA46</f>
        <v>0</v>
      </c>
      <c r="F40" s="465">
        <f>'Total Alt Sched @ 6.5%'!AO46</f>
        <v>0</v>
      </c>
      <c r="J40" s="49">
        <v>2048</v>
      </c>
      <c r="K40" s="473">
        <f>'Total Curr w2016 Loss'!Y46</f>
        <v>1379227.1391988057</v>
      </c>
      <c r="L40" s="473">
        <f>'Total Alt Schedule @ 7%'!Y46</f>
        <v>0</v>
      </c>
      <c r="M40" s="473">
        <f>'Total Alt Sched @ 6.5%'!AM46</f>
        <v>0</v>
      </c>
    </row>
    <row r="41" spans="1:14" x14ac:dyDescent="0.25">
      <c r="A41" s="49"/>
      <c r="B41" s="49"/>
      <c r="C41" s="49"/>
      <c r="D41" s="473"/>
      <c r="E41" s="473"/>
      <c r="F41" s="358"/>
      <c r="K41" s="358"/>
      <c r="L41" s="358"/>
      <c r="M41" s="358"/>
    </row>
    <row r="42" spans="1:14" x14ac:dyDescent="0.25">
      <c r="A42" s="50" t="s">
        <v>206</v>
      </c>
      <c r="B42" s="49"/>
      <c r="C42" s="49"/>
      <c r="D42" s="474">
        <f>SUM(D10:D41)</f>
        <v>692554032.77326882</v>
      </c>
      <c r="E42" s="474">
        <f>SUM(E10:E41)</f>
        <v>683355940.07580483</v>
      </c>
      <c r="F42" s="474">
        <f>SUM(F10:F41)</f>
        <v>796017859.45631123</v>
      </c>
      <c r="G42" s="467"/>
      <c r="K42" s="474">
        <f>SUM(K10:K41)</f>
        <v>4961459006.0377989</v>
      </c>
      <c r="L42" s="474">
        <f>SUM(L10:L41)</f>
        <v>4576573571.9146624</v>
      </c>
      <c r="M42" s="474">
        <f>SUM(M10:M41)</f>
        <v>5476434090.4991827</v>
      </c>
    </row>
    <row r="43" spans="1:14" x14ac:dyDescent="0.25">
      <c r="A43" s="50" t="s">
        <v>208</v>
      </c>
      <c r="B43" s="49"/>
      <c r="C43" s="49"/>
      <c r="D43" s="49"/>
      <c r="E43" s="50"/>
    </row>
    <row r="44" spans="1:14" x14ac:dyDescent="0.25">
      <c r="A44" s="50" t="s">
        <v>205</v>
      </c>
      <c r="B44" s="49"/>
      <c r="C44" s="49"/>
      <c r="D44" s="51"/>
      <c r="E44" s="50"/>
    </row>
    <row r="45" spans="1:14" x14ac:dyDescent="0.25">
      <c r="A45" s="50"/>
      <c r="B45" s="49"/>
      <c r="C45" s="49"/>
      <c r="D45" s="49"/>
      <c r="E45" s="49"/>
    </row>
    <row r="46" spans="1:14" x14ac:dyDescent="0.25">
      <c r="A46" s="50" t="s">
        <v>188</v>
      </c>
      <c r="B46" s="49"/>
      <c r="C46" s="49"/>
      <c r="D46" s="105"/>
      <c r="E46" s="105"/>
    </row>
    <row r="47" spans="1:14" x14ac:dyDescent="0.25">
      <c r="A47" s="50"/>
      <c r="B47" s="49"/>
      <c r="C47" s="49"/>
      <c r="D47" s="49"/>
      <c r="E47" s="49"/>
    </row>
    <row r="48" spans="1:14" x14ac:dyDescent="0.25">
      <c r="A48" s="50" t="s">
        <v>207</v>
      </c>
      <c r="B48" s="49"/>
      <c r="C48" s="49"/>
      <c r="D48" s="105"/>
      <c r="E48" s="105"/>
    </row>
  </sheetData>
  <mergeCells count="2">
    <mergeCell ref="D6:F6"/>
    <mergeCell ref="K6:M6"/>
  </mergeCells>
  <conditionalFormatting sqref="N11">
    <cfRule type="cellIs" dxfId="572" priority="4" operator="greaterThanOrEqual">
      <formula>N10</formula>
    </cfRule>
    <cfRule type="cellIs" dxfId="571" priority="5" operator="greaterThan">
      <formula>N$15</formula>
    </cfRule>
    <cfRule type="cellIs" dxfId="570" priority="6" operator="lessThanOrEqual">
      <formula>N$15</formula>
    </cfRule>
  </conditionalFormatting>
  <conditionalFormatting sqref="N12:N30">
    <cfRule type="cellIs" dxfId="569" priority="1" operator="greaterThanOrEqual">
      <formula>N11</formula>
    </cfRule>
    <cfRule type="cellIs" dxfId="568" priority="2" operator="greaterThan">
      <formula>N$15</formula>
    </cfRule>
    <cfRule type="cellIs" dxfId="567" priority="3" operator="lessThanOrEqual">
      <formula>N$15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25</vt:i4>
      </vt:variant>
    </vt:vector>
  </HeadingPairs>
  <TitlesOfParts>
    <vt:vector size="59" baseType="lpstr">
      <vt:lpstr>Summary</vt:lpstr>
      <vt:lpstr>Detail</vt:lpstr>
      <vt:lpstr>Charts</vt:lpstr>
      <vt:lpstr>ChartData</vt:lpstr>
      <vt:lpstr>Total</vt:lpstr>
      <vt:lpstr>UL</vt:lpstr>
      <vt:lpstr>Notes</vt:lpstr>
      <vt:lpstr>Sample Amort Comparison</vt:lpstr>
      <vt:lpstr>Chart</vt:lpstr>
      <vt:lpstr>PmtComp w2016 loss</vt:lpstr>
      <vt:lpstr>Post Disc Recomm Comp Alt1</vt:lpstr>
      <vt:lpstr>Post Disc Recomm Comp Alt2</vt:lpstr>
      <vt:lpstr>BalComp</vt:lpstr>
      <vt:lpstr>Analysis Results</vt:lpstr>
      <vt:lpstr>Total Curr Schedule</vt:lpstr>
      <vt:lpstr>Total Curr w2016 Loss</vt:lpstr>
      <vt:lpstr>Total Alt Schedule @ 7%</vt:lpstr>
      <vt:lpstr>Total Alt Sched @ 6.5%</vt:lpstr>
      <vt:lpstr>MiscAmortBases</vt:lpstr>
      <vt:lpstr>Misc Curr Schedule </vt:lpstr>
      <vt:lpstr>Misc Curr Schd w2016Loss &amp; DC</vt:lpstr>
      <vt:lpstr>Misc Alt Schedule @ 7%</vt:lpstr>
      <vt:lpstr>Misc Alt Schedule @ 6.5%</vt:lpstr>
      <vt:lpstr>Misc Alt Schedules Old Style </vt:lpstr>
      <vt:lpstr>SafetyAmort Bases</vt:lpstr>
      <vt:lpstr>Safety Curr Schedule</vt:lpstr>
      <vt:lpstr>Safety Curr Schedule w2016Loss </vt:lpstr>
      <vt:lpstr>Safety Curr ScheduleOLD</vt:lpstr>
      <vt:lpstr>Safety Alt Schedule @ 7%</vt:lpstr>
      <vt:lpstr>Safety Alt Schedule @ 6.5%</vt:lpstr>
      <vt:lpstr>Safety Alt Schedules_Old </vt:lpstr>
      <vt:lpstr>MVA AVA</vt:lpstr>
      <vt:lpstr>Sheet1</vt:lpstr>
      <vt:lpstr>Sheet2</vt:lpstr>
      <vt:lpstr>ALT_6.5PCT</vt:lpstr>
      <vt:lpstr>ALT_7PCT</vt:lpstr>
      <vt:lpstr>DEFAULT</vt:lpstr>
      <vt:lpstr>BalComp!Print_Area</vt:lpstr>
      <vt:lpstr>ChartData!Print_Area</vt:lpstr>
      <vt:lpstr>'Misc Alt Schedule @ 6.5%'!Print_Area</vt:lpstr>
      <vt:lpstr>'Misc Alt Schedule @ 7%'!Print_Area</vt:lpstr>
      <vt:lpstr>'Misc Alt Schedules Old Style '!Print_Area</vt:lpstr>
      <vt:lpstr>'Misc Curr Schd w2016Loss &amp; DC'!Print_Area</vt:lpstr>
      <vt:lpstr>'Misc Curr Schedule '!Print_Area</vt:lpstr>
      <vt:lpstr>'PmtComp w2016 loss'!Print_Area</vt:lpstr>
      <vt:lpstr>'Post Disc Recomm Comp Alt1'!Print_Area</vt:lpstr>
      <vt:lpstr>'Post Disc Recomm Comp Alt2'!Print_Area</vt:lpstr>
      <vt:lpstr>'Safety Alt Schedule @ 6.5%'!Print_Area</vt:lpstr>
      <vt:lpstr>'Safety Alt Schedule @ 7%'!Print_Area</vt:lpstr>
      <vt:lpstr>'Safety Alt Schedules_Old '!Print_Area</vt:lpstr>
      <vt:lpstr>'Safety Curr Schedule'!Print_Area</vt:lpstr>
      <vt:lpstr>'Safety Curr Schedule w2016Loss '!Print_Area</vt:lpstr>
      <vt:lpstr>'Safety Curr ScheduleOLD'!Print_Area</vt:lpstr>
      <vt:lpstr>'Sample Amort Comparison'!Print_Area</vt:lpstr>
      <vt:lpstr>Sheet2!Print_Area</vt:lpstr>
      <vt:lpstr>'Total Alt Sched @ 6.5%'!Print_Area</vt:lpstr>
      <vt:lpstr>'Total Alt Schedule @ 7%'!Print_Area</vt:lpstr>
      <vt:lpstr>'Total Curr Schedule'!Print_Area</vt:lpstr>
      <vt:lpstr>'Total Curr w2016 Loss'!Print_Area</vt:lpstr>
    </vt:vector>
  </TitlesOfParts>
  <Manager>Dan M</Manager>
  <Company>City of Newport Beach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Incremental Cost of UAL</dc:title>
  <dc:subject>PERS</dc:subject>
  <dc:creator>Wills, Katie</dc:creator>
  <cp:lastModifiedBy>Matusiewicz, Dan</cp:lastModifiedBy>
  <cp:lastPrinted>2017-02-16T21:32:08Z</cp:lastPrinted>
  <dcterms:created xsi:type="dcterms:W3CDTF">2014-10-15T19:44:14Z</dcterms:created>
  <dcterms:modified xsi:type="dcterms:W3CDTF">2017-03-09T19:42:13Z</dcterms:modified>
</cp:coreProperties>
</file>