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.lcl\data\Users\FIN\Shared\OMB\budget\Budget18\Financial Forecasts\PERS\"/>
    </mc:Choice>
  </mc:AlternateContent>
  <bookViews>
    <workbookView xWindow="300" yWindow="75" windowWidth="14685" windowHeight="6135" activeTab="2"/>
  </bookViews>
  <sheets>
    <sheet name="Notes" sheetId="12" r:id="rId1"/>
    <sheet name="Disc Rate Chg - Total" sheetId="10" r:id="rId2"/>
    <sheet name="Disc Rate Chg - Misc" sheetId="3" r:id="rId3"/>
    <sheet name="Sheet1" sheetId="1" state="hidden" r:id="rId4"/>
    <sheet name="Shannon Misc Notes" sheetId="2" state="hidden" r:id="rId5"/>
    <sheet name="Disc Rate Chg - Safety" sheetId="9" r:id="rId6"/>
  </sheets>
  <calcPr calcId="162913"/>
</workbook>
</file>

<file path=xl/calcChain.xml><?xml version="1.0" encoding="utf-8"?>
<calcChain xmlns="http://schemas.openxmlformats.org/spreadsheetml/2006/main">
  <c r="H11" i="10" l="1"/>
  <c r="K6" i="10"/>
  <c r="K5" i="10"/>
  <c r="K7" i="10" l="1"/>
  <c r="E14" i="3" l="1"/>
  <c r="E13" i="3"/>
  <c r="L11" i="3"/>
  <c r="C9" i="10"/>
  <c r="E8" i="10"/>
  <c r="F18" i="10"/>
  <c r="F17" i="10"/>
  <c r="F16" i="10"/>
  <c r="F15" i="10"/>
  <c r="F14" i="10"/>
  <c r="F13" i="10"/>
  <c r="F12" i="10"/>
  <c r="F11" i="10"/>
  <c r="E16" i="10"/>
  <c r="E11" i="10"/>
  <c r="S20" i="9"/>
  <c r="P11" i="9" s="1"/>
  <c r="R11" i="9" s="1"/>
  <c r="G12" i="10" s="1"/>
  <c r="E20" i="9"/>
  <c r="D11" i="9" s="1"/>
  <c r="S19" i="9"/>
  <c r="P16" i="9" s="1"/>
  <c r="E17" i="10" s="1"/>
  <c r="E19" i="9"/>
  <c r="T15" i="9"/>
  <c r="R15" i="9"/>
  <c r="G16" i="10" s="1"/>
  <c r="N16" i="10" s="1"/>
  <c r="O15" i="9"/>
  <c r="R10" i="9"/>
  <c r="T10" i="9" s="1"/>
  <c r="P15" i="3"/>
  <c r="P10" i="3"/>
  <c r="F20" i="3"/>
  <c r="E12" i="10" l="1"/>
  <c r="G11" i="10"/>
  <c r="N11" i="10" s="1"/>
  <c r="O10" i="9"/>
  <c r="N12" i="10"/>
  <c r="P12" i="10"/>
  <c r="H21" i="10"/>
  <c r="H20" i="10"/>
  <c r="D16" i="10"/>
  <c r="D11" i="10"/>
  <c r="D17" i="10"/>
  <c r="D12" i="10"/>
  <c r="P11" i="10"/>
  <c r="P16" i="10"/>
  <c r="R16" i="9"/>
  <c r="G17" i="10" s="1"/>
  <c r="P17" i="10" s="1"/>
  <c r="O16" i="9"/>
  <c r="V10" i="9"/>
  <c r="P12" i="9"/>
  <c r="E13" i="10" s="1"/>
  <c r="O11" i="9"/>
  <c r="E11" i="9"/>
  <c r="M11" i="9"/>
  <c r="C12" i="10" s="1"/>
  <c r="G11" i="9"/>
  <c r="K11" i="9" s="1"/>
  <c r="F11" i="9"/>
  <c r="V11" i="9"/>
  <c r="T11" i="9"/>
  <c r="S11" i="9"/>
  <c r="H12" i="10" s="1"/>
  <c r="S16" i="9"/>
  <c r="H17" i="10" s="1"/>
  <c r="T16" i="9"/>
  <c r="D12" i="9"/>
  <c r="P17" i="9"/>
  <c r="E18" i="10" s="1"/>
  <c r="H11" i="9"/>
  <c r="V15" i="9"/>
  <c r="M10" i="9"/>
  <c r="V16" i="9" l="1"/>
  <c r="M17" i="10"/>
  <c r="I17" i="10"/>
  <c r="L17" i="10" s="1"/>
  <c r="I12" i="10"/>
  <c r="M12" i="10"/>
  <c r="Q12" i="10" s="1"/>
  <c r="N17" i="10"/>
  <c r="U10" i="9"/>
  <c r="C11" i="10"/>
  <c r="O11" i="10" s="1"/>
  <c r="D13" i="10"/>
  <c r="D18" i="10"/>
  <c r="R12" i="9"/>
  <c r="G13" i="10" s="1"/>
  <c r="O12" i="9"/>
  <c r="P13" i="9"/>
  <c r="E14" i="10" s="1"/>
  <c r="D14" i="10" s="1"/>
  <c r="W11" i="9"/>
  <c r="U11" i="9"/>
  <c r="W10" i="9"/>
  <c r="F12" i="9"/>
  <c r="J12" i="9"/>
  <c r="J13" i="9" s="1"/>
  <c r="J14" i="9" s="1"/>
  <c r="J15" i="9" s="1"/>
  <c r="J16" i="9" s="1"/>
  <c r="J17" i="9" s="1"/>
  <c r="E12" i="9"/>
  <c r="M12" i="9"/>
  <c r="C13" i="10" s="1"/>
  <c r="G12" i="9"/>
  <c r="R17" i="9"/>
  <c r="G18" i="10" s="1"/>
  <c r="O17" i="9"/>
  <c r="P14" i="9"/>
  <c r="E15" i="10" s="1"/>
  <c r="O13" i="9"/>
  <c r="D13" i="9"/>
  <c r="R13" i="9" l="1"/>
  <c r="G14" i="10" s="1"/>
  <c r="L12" i="10"/>
  <c r="O12" i="10" s="1"/>
  <c r="K16" i="10"/>
  <c r="K12" i="10"/>
  <c r="K13" i="10"/>
  <c r="K15" i="10"/>
  <c r="K14" i="10"/>
  <c r="K17" i="10"/>
  <c r="K18" i="10"/>
  <c r="Q11" i="10"/>
  <c r="N13" i="10"/>
  <c r="O13" i="10" s="1"/>
  <c r="P13" i="10"/>
  <c r="Q13" i="10" s="1"/>
  <c r="P14" i="10"/>
  <c r="N14" i="10"/>
  <c r="N18" i="10"/>
  <c r="P18" i="10"/>
  <c r="D15" i="10"/>
  <c r="V12" i="9"/>
  <c r="W12" i="9" s="1"/>
  <c r="S12" i="9"/>
  <c r="H13" i="10" s="1"/>
  <c r="T12" i="9"/>
  <c r="U12" i="9" s="1"/>
  <c r="R14" i="9"/>
  <c r="G15" i="10" s="1"/>
  <c r="O14" i="9"/>
  <c r="K12" i="9"/>
  <c r="K13" i="9" s="1"/>
  <c r="K14" i="9" s="1"/>
  <c r="K15" i="9" s="1"/>
  <c r="K16" i="9" s="1"/>
  <c r="K17" i="9" s="1"/>
  <c r="H12" i="9"/>
  <c r="V13" i="9"/>
  <c r="S13" i="9"/>
  <c r="H14" i="10" s="1"/>
  <c r="T13" i="9"/>
  <c r="F13" i="9"/>
  <c r="E13" i="9"/>
  <c r="G13" i="9"/>
  <c r="H13" i="9" s="1"/>
  <c r="M13" i="9"/>
  <c r="C14" i="10" s="1"/>
  <c r="D14" i="9"/>
  <c r="S17" i="9"/>
  <c r="H18" i="10" s="1"/>
  <c r="T17" i="9"/>
  <c r="V17" i="9"/>
  <c r="M18" i="10" l="1"/>
  <c r="I18" i="10"/>
  <c r="L18" i="10" s="1"/>
  <c r="M14" i="10"/>
  <c r="I14" i="10"/>
  <c r="L14" i="10" s="1"/>
  <c r="M13" i="10"/>
  <c r="I13" i="10"/>
  <c r="L13" i="10" s="1"/>
  <c r="O14" i="10"/>
  <c r="Q14" i="10"/>
  <c r="P15" i="10"/>
  <c r="N15" i="10"/>
  <c r="U13" i="9"/>
  <c r="F14" i="9"/>
  <c r="E14" i="9"/>
  <c r="M14" i="9"/>
  <c r="C15" i="10" s="1"/>
  <c r="G14" i="9"/>
  <c r="H14" i="9" s="1"/>
  <c r="D15" i="9"/>
  <c r="W13" i="9"/>
  <c r="V14" i="9"/>
  <c r="T14" i="9"/>
  <c r="S14" i="9"/>
  <c r="H15" i="10" s="1"/>
  <c r="S15" i="9"/>
  <c r="H16" i="10" s="1"/>
  <c r="M15" i="10" l="1"/>
  <c r="I15" i="10"/>
  <c r="L15" i="10" s="1"/>
  <c r="M16" i="10"/>
  <c r="I16" i="10"/>
  <c r="L16" i="10" s="1"/>
  <c r="Q15" i="10"/>
  <c r="O15" i="10"/>
  <c r="U14" i="9"/>
  <c r="F15" i="9"/>
  <c r="E15" i="9"/>
  <c r="D16" i="9"/>
  <c r="M15" i="9"/>
  <c r="C16" i="10" s="1"/>
  <c r="G15" i="9"/>
  <c r="H15" i="9" s="1"/>
  <c r="W14" i="9"/>
  <c r="T20" i="3"/>
  <c r="Q11" i="3" s="1"/>
  <c r="P11" i="3" s="1"/>
  <c r="O16" i="10" l="1"/>
  <c r="Q16" i="10"/>
  <c r="G16" i="9"/>
  <c r="H16" i="9" s="1"/>
  <c r="D17" i="9"/>
  <c r="F16" i="9"/>
  <c r="E16" i="9"/>
  <c r="M16" i="9"/>
  <c r="C17" i="10" s="1"/>
  <c r="U15" i="9"/>
  <c r="W15" i="9"/>
  <c r="S11" i="3"/>
  <c r="O17" i="10" l="1"/>
  <c r="Q17" i="10"/>
  <c r="G17" i="9"/>
  <c r="H17" i="9" s="1"/>
  <c r="F17" i="9"/>
  <c r="E17" i="9"/>
  <c r="M17" i="9"/>
  <c r="C18" i="10" s="1"/>
  <c r="U16" i="9"/>
  <c r="W16" i="9"/>
  <c r="W11" i="3"/>
  <c r="U11" i="3"/>
  <c r="O18" i="10" l="1"/>
  <c r="Q18" i="10"/>
  <c r="W17" i="9"/>
  <c r="U17" i="9"/>
  <c r="N7" i="3" l="1"/>
  <c r="S15" i="3"/>
  <c r="S10" i="3"/>
  <c r="T19" i="3"/>
  <c r="Q12" i="3" s="1"/>
  <c r="P12" i="3" s="1"/>
  <c r="U10" i="3" l="1"/>
  <c r="W10" i="3"/>
  <c r="U15" i="3"/>
  <c r="W15" i="3"/>
  <c r="T11" i="3"/>
  <c r="Q16" i="3"/>
  <c r="P16" i="3" s="1"/>
  <c r="S12" i="3"/>
  <c r="N10" i="3"/>
  <c r="Q13" i="3"/>
  <c r="P13" i="3" s="1"/>
  <c r="W12" i="3" l="1"/>
  <c r="U12" i="3"/>
  <c r="V10" i="3"/>
  <c r="T12" i="3"/>
  <c r="X10" i="3"/>
  <c r="S16" i="3"/>
  <c r="Q14" i="3"/>
  <c r="P14" i="3" s="1"/>
  <c r="S13" i="3"/>
  <c r="F19" i="3"/>
  <c r="U13" i="3" l="1"/>
  <c r="W13" i="3"/>
  <c r="W16" i="3"/>
  <c r="U16" i="3"/>
  <c r="T16" i="3"/>
  <c r="T13" i="3"/>
  <c r="E12" i="3"/>
  <c r="Q17" i="3"/>
  <c r="S14" i="3"/>
  <c r="P17" i="3" l="1"/>
  <c r="W14" i="3"/>
  <c r="U14" i="3"/>
  <c r="T14" i="3"/>
  <c r="T15" i="3"/>
  <c r="N12" i="3"/>
  <c r="X12" i="3" s="1"/>
  <c r="K12" i="3"/>
  <c r="K13" i="3" s="1"/>
  <c r="K14" i="3" s="1"/>
  <c r="K15" i="3" s="1"/>
  <c r="K16" i="3" s="1"/>
  <c r="K17" i="3" s="1"/>
  <c r="H12" i="3"/>
  <c r="L12" i="3" s="1"/>
  <c r="L13" i="3" s="1"/>
  <c r="L14" i="3" s="1"/>
  <c r="L15" i="3" s="1"/>
  <c r="L16" i="3" s="1"/>
  <c r="L17" i="3" s="1"/>
  <c r="S17" i="3"/>
  <c r="U17" i="3" l="1"/>
  <c r="T17" i="3"/>
  <c r="W17" i="3"/>
  <c r="N13" i="3"/>
  <c r="X13" i="3" s="1"/>
  <c r="F13" i="3"/>
  <c r="G13" i="3"/>
  <c r="H13" i="3"/>
  <c r="I13" i="3" s="1"/>
  <c r="E15" i="3"/>
  <c r="V12" i="3"/>
  <c r="N14" i="3" l="1"/>
  <c r="X14" i="3" s="1"/>
  <c r="G15" i="3"/>
  <c r="F15" i="3"/>
  <c r="F14" i="3"/>
  <c r="G14" i="3"/>
  <c r="V13" i="3"/>
  <c r="V14" i="3"/>
  <c r="E11" i="3"/>
  <c r="N15" i="3"/>
  <c r="X15" i="3" s="1"/>
  <c r="E16" i="3"/>
  <c r="H6" i="2"/>
  <c r="G6" i="2"/>
  <c r="F6" i="2"/>
  <c r="E6" i="2"/>
  <c r="D6" i="2"/>
  <c r="E8" i="2"/>
  <c r="F8" i="2"/>
  <c r="G8" i="2"/>
  <c r="H8" i="2"/>
  <c r="D8" i="2"/>
  <c r="L12" i="1"/>
  <c r="G27" i="1"/>
  <c r="G24" i="1"/>
  <c r="G23" i="1"/>
  <c r="F9" i="1"/>
  <c r="G9" i="1" s="1"/>
  <c r="J9" i="1" s="1"/>
  <c r="F8" i="1"/>
  <c r="G8" i="1" s="1"/>
  <c r="F6" i="1"/>
  <c r="G6" i="1" s="1"/>
  <c r="F5" i="1"/>
  <c r="G5" i="1" s="1"/>
  <c r="J6" i="1" l="1"/>
  <c r="G11" i="1"/>
  <c r="F11" i="3"/>
  <c r="G11" i="3"/>
  <c r="G12" i="3"/>
  <c r="F12" i="3"/>
  <c r="G16" i="3"/>
  <c r="F16" i="3"/>
  <c r="H11" i="3"/>
  <c r="N11" i="3"/>
  <c r="X11" i="3" s="1"/>
  <c r="V15" i="3"/>
  <c r="E17" i="3"/>
  <c r="N16" i="3"/>
  <c r="X16" i="3" s="1"/>
  <c r="H14" i="3"/>
  <c r="I14" i="3" s="1"/>
  <c r="N17" i="3" l="1"/>
  <c r="X17" i="3" s="1"/>
  <c r="F17" i="3"/>
  <c r="G17" i="3"/>
  <c r="I12" i="3"/>
  <c r="I11" i="3"/>
  <c r="V11" i="3"/>
  <c r="V17" i="3"/>
  <c r="V16" i="3"/>
  <c r="H15" i="3"/>
  <c r="I15" i="3" s="1"/>
  <c r="H16" i="3" l="1"/>
  <c r="I16" i="3" l="1"/>
  <c r="H17" i="3"/>
  <c r="I17" i="3" s="1"/>
</calcChain>
</file>

<file path=xl/comments1.xml><?xml version="1.0" encoding="utf-8"?>
<comments xmlns="http://schemas.openxmlformats.org/spreadsheetml/2006/main">
  <authors>
    <author>Matusiewicz, Dan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Page 4 of 2015 Val
Non-pooled Plans
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Page 5 of 2015 Val.
Non-pooled plan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  <comment ref="L10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Appendiix D PEPRA Rate
Pg D-1 of 2015 Valuation
Non-pooled plans
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</commentList>
</comments>
</file>

<file path=xl/comments2.xml><?xml version="1.0" encoding="utf-8"?>
<comments xmlns="http://schemas.openxmlformats.org/spreadsheetml/2006/main">
  <authors>
    <author>Matusiewicz, Dan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Page 4 of 2015 Val
Non-pooled Plans
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Page 5 of 2015 Val.
Non-pooled plan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Appendiix D PEPRA Rate
Pg D-1 of 2015 Valuation
Non-pooled plans
</t>
        </r>
      </text>
    </comment>
    <comment ref="P10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Matusiewicz, Dan:</t>
        </r>
        <r>
          <rPr>
            <sz val="9"/>
            <color indexed="81"/>
            <rFont val="Tahoma"/>
            <family val="2"/>
          </rPr>
          <t xml:space="preserve">
From Discount Rate Sensitivity Analysis
Pg 22 of 2015 Valuation
Non-pooled plans
</t>
        </r>
      </text>
    </comment>
  </commentList>
</comments>
</file>

<file path=xl/sharedStrings.xml><?xml version="1.0" encoding="utf-8"?>
<sst xmlns="http://schemas.openxmlformats.org/spreadsheetml/2006/main" count="108" uniqueCount="53">
  <si>
    <t>Blended Normal Cost</t>
  </si>
  <si>
    <t>Miscellaneous</t>
  </si>
  <si>
    <t>6/30/15 Valuation</t>
  </si>
  <si>
    <t>PEPRA</t>
  </si>
  <si>
    <t>Tier II</t>
  </si>
  <si>
    <t>MISC</t>
  </si>
  <si>
    <t>UAL Bal</t>
  </si>
  <si>
    <t>NC Shortfall</t>
  </si>
  <si>
    <t>Misc Salaries</t>
  </si>
  <si>
    <t>UAL Pmt</t>
  </si>
  <si>
    <t>Total UAL Bal</t>
  </si>
  <si>
    <t>Misc  UAL</t>
  </si>
  <si>
    <t>UAL &amp; NC Short</t>
  </si>
  <si>
    <t>Safety</t>
  </si>
  <si>
    <t>Discount</t>
  </si>
  <si>
    <t>Funded Status</t>
  </si>
  <si>
    <t>Change</t>
  </si>
  <si>
    <t>Absolute</t>
  </si>
  <si>
    <t>Relative</t>
  </si>
  <si>
    <t>Relative Cum.</t>
  </si>
  <si>
    <t>Extrapolation Rate @1/4th</t>
  </si>
  <si>
    <t>Extrapolation Rate @1/8th</t>
  </si>
  <si>
    <t>2016 Inv Loss</t>
  </si>
  <si>
    <t>MVA</t>
  </si>
  <si>
    <t>20 Yr Lvl %</t>
  </si>
  <si>
    <t>20Yr Lvl $</t>
  </si>
  <si>
    <t>Impact of Discount Rate</t>
  </si>
  <si>
    <t>Extrapolation Rate In 1/8th Increments</t>
  </si>
  <si>
    <t>Extrapolation Rate in 1/4th Increments</t>
  </si>
  <si>
    <t>Safety Salaries</t>
  </si>
  <si>
    <t>Total Salaries</t>
  </si>
  <si>
    <t>Total Misc &amp; Safety</t>
  </si>
  <si>
    <t>2 Yr Rollforward</t>
  </si>
  <si>
    <t>From Valuation Report</t>
  </si>
  <si>
    <t>i</t>
  </si>
  <si>
    <t>Interest</t>
  </si>
  <si>
    <t>Salary</t>
  </si>
  <si>
    <t>Ramp</t>
  </si>
  <si>
    <t>per</t>
  </si>
  <si>
    <t>a(ramp)</t>
  </si>
  <si>
    <t>a(per)</t>
  </si>
  <si>
    <t>Period</t>
  </si>
  <si>
    <t>Payment</t>
  </si>
  <si>
    <t>Amort.</t>
  </si>
  <si>
    <t>1st Yr Pmt</t>
  </si>
  <si>
    <t>Total UAL</t>
  </si>
  <si>
    <t xml:space="preserve"> 20 Yr Level % of Pay</t>
  </si>
  <si>
    <t xml:space="preserve"> 20 Yr Level $ pmt</t>
  </si>
  <si>
    <t>Total Liability Payment</t>
  </si>
  <si>
    <t>20 Yr With 5 Yr Ramp</t>
  </si>
  <si>
    <t>All</t>
  </si>
  <si>
    <t>Payments</t>
  </si>
  <si>
    <t>Incremental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</si>
</sst>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000_);_(* \(#,##0.0000\);_(* &quot;-&quot;??_);_(@_)"/>
    <numFmt numFmtId="167" formatCode="0.000%"/>
    <numFmt numFmtId="168" formatCode="0.0000%"/>
    <numFmt numFmtId="169" formatCode="_(&quot;$&quot;* #,##0_);_(&quot;$&quot;* \(#,##0\);_(&quot;$&quot;* &quot;-&quot;??_);_(@_)"/>
    <numFmt numFmtId="170" formatCode="0.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139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0" fillId="0" borderId="0" xfId="1" applyNumberFormat="1" applyFont="1"/>
    <xf numFmtId="43" fontId="0" fillId="0" borderId="0" xfId="0" applyNumberFormat="1"/>
    <xf numFmtId="164" fontId="0" fillId="0" borderId="0" xfId="0" applyNumberFormat="1"/>
    <xf numFmtId="6" fontId="2" fillId="0" borderId="1" xfId="0" applyNumberFormat="1" applyFont="1" applyBorder="1" applyAlignment="1">
      <alignment horizontal="right" vertical="center" wrapText="1"/>
    </xf>
    <xf numFmtId="6" fontId="2" fillId="0" borderId="2" xfId="0" applyNumberFormat="1" applyFont="1" applyBorder="1" applyAlignment="1">
      <alignment horizontal="right" vertical="center" wrapText="1"/>
    </xf>
    <xf numFmtId="6" fontId="2" fillId="0" borderId="3" xfId="0" applyNumberFormat="1" applyFont="1" applyBorder="1" applyAlignment="1">
      <alignment horizontal="right" vertical="center" wrapText="1"/>
    </xf>
    <xf numFmtId="6" fontId="2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65" fontId="2" fillId="0" borderId="3" xfId="2" applyNumberFormat="1" applyFont="1" applyBorder="1" applyAlignment="1">
      <alignment horizontal="right" vertical="center" wrapText="1"/>
    </xf>
    <xf numFmtId="10" fontId="0" fillId="0" borderId="0" xfId="0" applyNumberFormat="1"/>
    <xf numFmtId="10" fontId="0" fillId="0" borderId="0" xfId="2" applyNumberFormat="1" applyFont="1"/>
    <xf numFmtId="166" fontId="0" fillId="0" borderId="0" xfId="1" applyNumberFormat="1" applyFont="1"/>
    <xf numFmtId="166" fontId="0" fillId="0" borderId="0" xfId="0" applyNumberFormat="1"/>
    <xf numFmtId="10" fontId="0" fillId="0" borderId="1" xfId="2" applyNumberFormat="1" applyFont="1" applyBorder="1"/>
    <xf numFmtId="0" fontId="0" fillId="0" borderId="0" xfId="0" applyAlignment="1">
      <alignment horizontal="center"/>
    </xf>
    <xf numFmtId="10" fontId="3" fillId="0" borderId="0" xfId="2" applyNumberFormat="1" applyFont="1"/>
    <xf numFmtId="0" fontId="0" fillId="0" borderId="1" xfId="0" applyBorder="1" applyAlignment="1">
      <alignment horizontal="center"/>
    </xf>
    <xf numFmtId="10" fontId="4" fillId="0" borderId="0" xfId="0" applyNumberFormat="1" applyFont="1" applyAlignment="1">
      <alignment horizontal="center"/>
    </xf>
    <xf numFmtId="167" fontId="0" fillId="0" borderId="0" xfId="2" applyNumberFormat="1" applyFont="1" applyAlignment="1">
      <alignment horizontal="center"/>
    </xf>
    <xf numFmtId="168" fontId="0" fillId="0" borderId="0" xfId="0" applyNumberFormat="1"/>
    <xf numFmtId="10" fontId="5" fillId="0" borderId="1" xfId="2" applyNumberFormat="1" applyFont="1" applyBorder="1" applyAlignment="1">
      <alignment horizontal="center"/>
    </xf>
    <xf numFmtId="167" fontId="0" fillId="2" borderId="3" xfId="0" applyNumberFormat="1" applyFill="1" applyBorder="1"/>
    <xf numFmtId="164" fontId="0" fillId="2" borderId="1" xfId="1" applyNumberFormat="1" applyFont="1" applyFill="1" applyBorder="1"/>
    <xf numFmtId="0" fontId="0" fillId="0" borderId="1" xfId="0" applyBorder="1" applyAlignment="1">
      <alignment horizontal="center" wrapText="1"/>
    </xf>
    <xf numFmtId="10" fontId="0" fillId="0" borderId="9" xfId="2" applyNumberFormat="1" applyFont="1" applyBorder="1"/>
    <xf numFmtId="6" fontId="0" fillId="0" borderId="0" xfId="0" applyNumberFormat="1"/>
    <xf numFmtId="164" fontId="0" fillId="0" borderId="7" xfId="0" applyNumberFormat="1" applyBorder="1"/>
    <xf numFmtId="10" fontId="6" fillId="0" borderId="0" xfId="3" applyNumberFormat="1"/>
    <xf numFmtId="10" fontId="0" fillId="0" borderId="9" xfId="0" applyNumberFormat="1" applyBorder="1"/>
    <xf numFmtId="10" fontId="5" fillId="0" borderId="0" xfId="2" applyNumberFormat="1" applyFont="1" applyBorder="1" applyAlignment="1">
      <alignment horizontal="center"/>
    </xf>
    <xf numFmtId="10" fontId="0" fillId="0" borderId="0" xfId="2" applyNumberFormat="1" applyFont="1" applyBorder="1"/>
    <xf numFmtId="0" fontId="0" fillId="0" borderId="8" xfId="0" applyBorder="1" applyAlignment="1">
      <alignment horizontal="center" wrapText="1"/>
    </xf>
    <xf numFmtId="0" fontId="6" fillId="0" borderId="0" xfId="3" applyAlignment="1">
      <alignment horizontal="left"/>
    </xf>
    <xf numFmtId="10" fontId="0" fillId="0" borderId="1" xfId="2" applyNumberFormat="1" applyFont="1" applyBorder="1" applyAlignment="1">
      <alignment horizontal="center"/>
    </xf>
    <xf numFmtId="10" fontId="0" fillId="0" borderId="7" xfId="0" applyNumberFormat="1" applyBorder="1"/>
    <xf numFmtId="10" fontId="0" fillId="0" borderId="7" xfId="2" applyNumberFormat="1" applyFont="1" applyBorder="1"/>
    <xf numFmtId="167" fontId="0" fillId="2" borderId="8" xfId="2" applyNumberFormat="1" applyFont="1" applyFill="1" applyBorder="1"/>
    <xf numFmtId="10" fontId="3" fillId="0" borderId="7" xfId="2" applyNumberFormat="1" applyFont="1" applyBorder="1"/>
    <xf numFmtId="167" fontId="0" fillId="0" borderId="7" xfId="2" applyNumberFormat="1" applyFont="1" applyBorder="1" applyAlignment="1">
      <alignment horizontal="center"/>
    </xf>
    <xf numFmtId="167" fontId="0" fillId="0" borderId="7" xfId="2" applyNumberFormat="1" applyFont="1" applyBorder="1"/>
    <xf numFmtId="167" fontId="0" fillId="0" borderId="7" xfId="0" applyNumberFormat="1" applyBorder="1"/>
    <xf numFmtId="10" fontId="3" fillId="0" borderId="7" xfId="0" applyNumberFormat="1" applyFont="1" applyBorder="1"/>
    <xf numFmtId="10" fontId="7" fillId="0" borderId="7" xfId="2" applyNumberFormat="1" applyFont="1" applyBorder="1"/>
    <xf numFmtId="165" fontId="0" fillId="0" borderId="7" xfId="2" applyNumberFormat="1" applyFont="1" applyBorder="1"/>
    <xf numFmtId="164" fontId="0" fillId="0" borderId="7" xfId="1" applyNumberFormat="1" applyFont="1" applyBorder="1"/>
    <xf numFmtId="6" fontId="0" fillId="0" borderId="7" xfId="0" applyNumberFormat="1" applyBorder="1"/>
    <xf numFmtId="164" fontId="3" fillId="0" borderId="7" xfId="0" applyNumberFormat="1" applyFont="1" applyBorder="1"/>
    <xf numFmtId="164" fontId="3" fillId="0" borderId="7" xfId="0" applyNumberFormat="1" applyFont="1" applyFill="1" applyBorder="1"/>
    <xf numFmtId="165" fontId="3" fillId="0" borderId="7" xfId="2" applyNumberFormat="1" applyFont="1" applyFill="1" applyBorder="1"/>
    <xf numFmtId="164" fontId="3" fillId="0" borderId="7" xfId="1" applyNumberFormat="1" applyFont="1" applyFill="1" applyBorder="1"/>
    <xf numFmtId="165" fontId="0" fillId="0" borderId="10" xfId="2" applyNumberFormat="1" applyFont="1" applyBorder="1"/>
    <xf numFmtId="164" fontId="0" fillId="0" borderId="13" xfId="1" applyNumberFormat="1" applyFont="1" applyBorder="1"/>
    <xf numFmtId="164" fontId="0" fillId="0" borderId="14" xfId="1" applyNumberFormat="1" applyFont="1" applyBorder="1"/>
    <xf numFmtId="165" fontId="3" fillId="0" borderId="10" xfId="2" applyNumberFormat="1" applyFont="1" applyFill="1" applyBorder="1"/>
    <xf numFmtId="164" fontId="3" fillId="0" borderId="13" xfId="1" applyNumberFormat="1" applyFont="1" applyFill="1" applyBorder="1"/>
    <xf numFmtId="164" fontId="3" fillId="0" borderId="15" xfId="1" applyNumberFormat="1" applyFont="1" applyFill="1" applyBorder="1"/>
    <xf numFmtId="164" fontId="3" fillId="0" borderId="14" xfId="1" applyNumberFormat="1" applyFont="1" applyFill="1" applyBorder="1"/>
    <xf numFmtId="164" fontId="7" fillId="2" borderId="1" xfId="1" applyNumberFormat="1" applyFont="1" applyFill="1" applyBorder="1"/>
    <xf numFmtId="164" fontId="0" fillId="0" borderId="1" xfId="1" applyNumberFormat="1" applyFont="1" applyFill="1" applyBorder="1"/>
    <xf numFmtId="0" fontId="0" fillId="0" borderId="7" xfId="0" applyBorder="1"/>
    <xf numFmtId="167" fontId="0" fillId="2" borderId="9" xfId="2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0" fontId="5" fillId="0" borderId="0" xfId="2" applyNumberFormat="1" applyFont="1"/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1" xfId="0" applyFont="1" applyBorder="1"/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10" fontId="8" fillId="0" borderId="0" xfId="3" applyNumberFormat="1" applyFont="1"/>
    <xf numFmtId="169" fontId="0" fillId="0" borderId="7" xfId="4" applyNumberFormat="1" applyFont="1" applyBorder="1"/>
    <xf numFmtId="169" fontId="3" fillId="0" borderId="7" xfId="4" applyNumberFormat="1" applyFont="1" applyFill="1" applyBorder="1"/>
    <xf numFmtId="169" fontId="0" fillId="0" borderId="13" xfId="4" applyNumberFormat="1" applyFont="1" applyBorder="1"/>
    <xf numFmtId="169" fontId="3" fillId="0" borderId="7" xfId="4" applyNumberFormat="1" applyFont="1" applyBorder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/>
    </xf>
    <xf numFmtId="166" fontId="0" fillId="0" borderId="6" xfId="1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7" xfId="0" applyFill="1" applyBorder="1"/>
    <xf numFmtId="167" fontId="0" fillId="0" borderId="0" xfId="0" applyNumberFormat="1"/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0" fontId="5" fillId="0" borderId="5" xfId="2" applyNumberFormat="1" applyFont="1" applyBorder="1" applyAlignment="1">
      <alignment horizontal="center"/>
    </xf>
    <xf numFmtId="10" fontId="5" fillId="0" borderId="8" xfId="2" applyNumberFormat="1" applyFont="1" applyBorder="1" applyAlignment="1">
      <alignment horizontal="center"/>
    </xf>
    <xf numFmtId="10" fontId="5" fillId="0" borderId="2" xfId="2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169" fontId="11" fillId="0" borderId="0" xfId="4" applyNumberFormat="1" applyFont="1" applyBorder="1" applyAlignment="1">
      <alignment horizontal="center"/>
    </xf>
    <xf numFmtId="164" fontId="11" fillId="0" borderId="0" xfId="1" applyNumberFormat="1" applyFont="1" applyBorder="1" applyAlignment="1">
      <alignment horizontal="center"/>
    </xf>
    <xf numFmtId="0" fontId="3" fillId="0" borderId="7" xfId="4" applyNumberFormat="1" applyFont="1" applyFill="1" applyBorder="1" applyAlignment="1">
      <alignment horizontal="center"/>
    </xf>
    <xf numFmtId="0" fontId="5" fillId="0" borderId="17" xfId="0" applyFont="1" applyFill="1" applyBorder="1"/>
    <xf numFmtId="10" fontId="10" fillId="0" borderId="18" xfId="4" applyNumberFormat="1" applyFont="1" applyFill="1" applyBorder="1" applyAlignment="1">
      <alignment horizontal="center"/>
    </xf>
    <xf numFmtId="0" fontId="5" fillId="0" borderId="19" xfId="0" applyFont="1" applyFill="1" applyBorder="1"/>
    <xf numFmtId="0" fontId="0" fillId="0" borderId="19" xfId="0" applyFill="1" applyBorder="1"/>
    <xf numFmtId="0" fontId="3" fillId="0" borderId="20" xfId="0" applyFont="1" applyFill="1" applyBorder="1"/>
    <xf numFmtId="0" fontId="3" fillId="0" borderId="20" xfId="0" applyFont="1" applyFill="1" applyBorder="1" applyAlignment="1">
      <alignment horizontal="right"/>
    </xf>
    <xf numFmtId="164" fontId="3" fillId="0" borderId="20" xfId="0" applyNumberFormat="1" applyFont="1" applyFill="1" applyBorder="1" applyAlignment="1">
      <alignment horizontal="right"/>
    </xf>
    <xf numFmtId="170" fontId="3" fillId="0" borderId="20" xfId="0" applyNumberFormat="1" applyFont="1" applyFill="1" applyBorder="1" applyAlignment="1">
      <alignment horizontal="right"/>
    </xf>
    <xf numFmtId="169" fontId="0" fillId="4" borderId="7" xfId="4" applyNumberFormat="1" applyFont="1" applyFill="1" applyBorder="1"/>
    <xf numFmtId="0" fontId="11" fillId="0" borderId="14" xfId="0" applyFont="1" applyBorder="1" applyAlignment="1">
      <alignment horizontal="center"/>
    </xf>
    <xf numFmtId="0" fontId="0" fillId="0" borderId="21" xfId="0" applyBorder="1" applyAlignment="1">
      <alignment horizontal="center" wrapText="1"/>
    </xf>
    <xf numFmtId="169" fontId="0" fillId="0" borderId="10" xfId="4" applyNumberFormat="1" applyFont="1" applyBorder="1"/>
    <xf numFmtId="0" fontId="0" fillId="0" borderId="22" xfId="0" applyBorder="1" applyAlignment="1">
      <alignment horizontal="center"/>
    </xf>
    <xf numFmtId="0" fontId="11" fillId="0" borderId="14" xfId="0" applyFont="1" applyBorder="1" applyAlignment="1">
      <alignment horizontal="center" wrapText="1"/>
    </xf>
    <xf numFmtId="0" fontId="11" fillId="0" borderId="23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 wrapText="1"/>
    </xf>
    <xf numFmtId="0" fontId="0" fillId="0" borderId="24" xfId="4" applyNumberFormat="1" applyFont="1" applyFill="1" applyBorder="1" applyAlignment="1">
      <alignment horizontal="center"/>
    </xf>
    <xf numFmtId="0" fontId="7" fillId="0" borderId="25" xfId="5" applyFon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67" fontId="0" fillId="0" borderId="7" xfId="2" applyNumberFormat="1" applyFont="1" applyFill="1" applyBorder="1" applyAlignment="1">
      <alignment horizontal="center"/>
    </xf>
    <xf numFmtId="167" fontId="0" fillId="4" borderId="7" xfId="0" applyNumberFormat="1" applyFill="1" applyBorder="1"/>
    <xf numFmtId="164" fontId="0" fillId="4" borderId="7" xfId="1" applyNumberFormat="1" applyFont="1" applyFill="1" applyBorder="1"/>
    <xf numFmtId="165" fontId="0" fillId="4" borderId="7" xfId="2" applyNumberFormat="1" applyFont="1" applyFill="1" applyBorder="1"/>
    <xf numFmtId="0" fontId="0" fillId="4" borderId="14" xfId="4" applyNumberFormat="1" applyFont="1" applyFill="1" applyBorder="1" applyAlignment="1">
      <alignment horizontal="center"/>
    </xf>
    <xf numFmtId="169" fontId="0" fillId="4" borderId="14" xfId="4" applyNumberFormat="1" applyFont="1" applyFill="1" applyBorder="1"/>
    <xf numFmtId="10" fontId="0" fillId="4" borderId="7" xfId="0" applyNumberFormat="1" applyFill="1" applyBorder="1"/>
    <xf numFmtId="0" fontId="0" fillId="4" borderId="7" xfId="4" applyNumberFormat="1" applyFont="1" applyFill="1" applyBorder="1" applyAlignment="1">
      <alignment horizontal="center"/>
    </xf>
    <xf numFmtId="164" fontId="0" fillId="4" borderId="7" xfId="0" applyNumberFormat="1" applyFill="1" applyBorder="1"/>
  </cellXfs>
  <cellStyles count="6">
    <cellStyle name="Accent1" xfId="5" builtinId="29"/>
    <cellStyle name="Comma" xfId="1" builtinId="3"/>
    <cellStyle name="Currency" xfId="4" builtinId="4"/>
    <cellStyle name="Hyperlink" xfId="3" builtinId="8"/>
    <cellStyle name="Normal" xfId="0" builtinId="0"/>
    <cellStyle name="Percent" xfId="2" builtinId="5"/>
  </cellStyles>
  <dxfs count="6">
    <dxf>
      <fill>
        <patternFill>
          <bgColor rgb="FF94E494"/>
        </patternFill>
      </fill>
    </dxf>
    <dxf>
      <fill>
        <patternFill>
          <bgColor rgb="FFFFFF66"/>
        </patternFill>
      </fill>
    </dxf>
    <dxf>
      <fill>
        <patternFill>
          <bgColor rgb="FFFF6969"/>
        </patternFill>
      </fill>
    </dxf>
    <dxf>
      <fill>
        <patternFill>
          <bgColor rgb="FF94E494"/>
        </patternFill>
      </fill>
    </dxf>
    <dxf>
      <fill>
        <patternFill>
          <bgColor rgb="FFFFFF66"/>
        </patternFill>
      </fill>
    </dxf>
    <dxf>
      <fill>
        <patternFill>
          <bgColor rgb="FFFF696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1</xdr:row>
      <xdr:rowOff>66675</xdr:rowOff>
    </xdr:from>
    <xdr:to>
      <xdr:col>9</xdr:col>
      <xdr:colOff>438150</xdr:colOff>
      <xdr:row>5</xdr:row>
      <xdr:rowOff>161925</xdr:rowOff>
    </xdr:to>
    <xdr:sp macro="" textlink="">
      <xdr:nvSpPr>
        <xdr:cNvPr id="2" name="TextBox 1"/>
        <xdr:cNvSpPr txBox="1"/>
      </xdr:nvSpPr>
      <xdr:spPr>
        <a:xfrm>
          <a:off x="409575" y="257175"/>
          <a:ext cx="5514975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Start</a:t>
          </a:r>
          <a:r>
            <a:rPr lang="en-US" sz="1100" baseline="0"/>
            <a:t> with individual plan worksheets vs Total Worksheet. </a:t>
          </a:r>
        </a:p>
        <a:p>
          <a:r>
            <a:rPr lang="en-US" sz="1100" baseline="0"/>
            <a:t>Populate yellow highlighted boxes with data from valuation Report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xtrapolation@1/4th" TargetMode="External"/><Relationship Id="rId1" Type="http://schemas.openxmlformats.org/officeDocument/2006/relationships/hyperlink" Target="mailto:Extrapolation@1/8t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Extrapolation@1/8th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Extrapolation@1/4th" TargetMode="External"/><Relationship Id="rId1" Type="http://schemas.openxmlformats.org/officeDocument/2006/relationships/hyperlink" Target="mailto:Extrapolation@1/8th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Extrapolation@1/4th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Extrapolation@1/8th" TargetMode="External"/><Relationship Id="rId7" Type="http://schemas.openxmlformats.org/officeDocument/2006/relationships/comments" Target="../comments2.xml"/><Relationship Id="rId2" Type="http://schemas.openxmlformats.org/officeDocument/2006/relationships/hyperlink" Target="mailto:Extrapolation@1/4th" TargetMode="External"/><Relationship Id="rId1" Type="http://schemas.openxmlformats.org/officeDocument/2006/relationships/hyperlink" Target="mailto:Extrapolation@1/8th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Extrapolation@1/4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35"/>
  <sheetViews>
    <sheetView workbookViewId="0">
      <selection activeCell="D12" sqref="D12"/>
    </sheetView>
  </sheetViews>
  <sheetFormatPr defaultRowHeight="15" x14ac:dyDescent="0.25"/>
  <cols>
    <col min="1" max="1" width="3" style="17" bestFit="1" customWidth="1"/>
    <col min="2" max="2" width="11.28515625" customWidth="1"/>
    <col min="3" max="3" width="18.28515625" style="13" bestFit="1" customWidth="1"/>
    <col min="4" max="4" width="10.140625" style="13" customWidth="1"/>
    <col min="5" max="5" width="14.5703125" customWidth="1"/>
    <col min="6" max="6" width="12.5703125" bestFit="1" customWidth="1"/>
    <col min="7" max="7" width="13.7109375" bestFit="1" customWidth="1"/>
    <col min="8" max="9" width="13.28515625" bestFit="1" customWidth="1"/>
    <col min="10" max="10" width="8.7109375" customWidth="1"/>
    <col min="11" max="12" width="13.28515625" customWidth="1"/>
    <col min="13" max="13" width="11.7109375" customWidth="1"/>
    <col min="14" max="14" width="12.5703125" bestFit="1" customWidth="1"/>
    <col min="15" max="15" width="14.5703125" bestFit="1" customWidth="1"/>
    <col min="16" max="16" width="12.5703125" bestFit="1" customWidth="1"/>
    <col min="17" max="17" width="14.5703125" bestFit="1" customWidth="1"/>
    <col min="18" max="18" width="7.7109375" bestFit="1" customWidth="1"/>
    <col min="19" max="19" width="12.7109375" customWidth="1"/>
    <col min="20" max="20" width="16.5703125" style="2" bestFit="1" customWidth="1"/>
    <col min="21" max="23" width="14.28515625" customWidth="1"/>
    <col min="24" max="24" width="12.85546875" bestFit="1" customWidth="1"/>
    <col min="25" max="25" width="14.5703125" bestFit="1" customWidth="1"/>
  </cols>
  <sheetData>
    <row r="1" spans="2:17" ht="16.5" thickTop="1" thickBot="1" x14ac:dyDescent="0.3">
      <c r="B1" s="65" t="s">
        <v>2</v>
      </c>
      <c r="J1" s="109" t="s">
        <v>35</v>
      </c>
      <c r="K1" s="110">
        <v>7.4999999999999997E-2</v>
      </c>
    </row>
    <row r="2" spans="2:17" ht="16.5" thickTop="1" thickBot="1" x14ac:dyDescent="0.3">
      <c r="D2" s="32"/>
      <c r="J2" s="111" t="s">
        <v>36</v>
      </c>
      <c r="K2" s="110">
        <v>0.03</v>
      </c>
    </row>
    <row r="3" spans="2:17" ht="16.5" thickTop="1" thickBot="1" x14ac:dyDescent="0.3">
      <c r="C3" s="23" t="s">
        <v>31</v>
      </c>
      <c r="J3" s="112"/>
      <c r="K3" s="113"/>
    </row>
    <row r="4" spans="2:17" x14ac:dyDescent="0.25">
      <c r="C4"/>
      <c r="D4"/>
      <c r="J4" s="112" t="s">
        <v>37</v>
      </c>
      <c r="K4" s="114">
        <v>5</v>
      </c>
    </row>
    <row r="5" spans="2:17" x14ac:dyDescent="0.25">
      <c r="D5"/>
      <c r="J5" s="112" t="s">
        <v>38</v>
      </c>
      <c r="K5" s="115">
        <f>J9+1-K4</f>
        <v>16</v>
      </c>
    </row>
    <row r="6" spans="2:17" ht="15.75" thickBot="1" x14ac:dyDescent="0.3">
      <c r="C6"/>
      <c r="D6"/>
      <c r="J6" s="112" t="s">
        <v>39</v>
      </c>
      <c r="K6" s="116">
        <f>1/(-PMT((1+K1)/(1+K2)-1,K4,1,0,1))</f>
        <v>4.5985546446254109</v>
      </c>
    </row>
    <row r="7" spans="2:17" ht="15.75" thickBot="1" x14ac:dyDescent="0.3">
      <c r="C7" s="87" t="s">
        <v>7</v>
      </c>
      <c r="D7"/>
      <c r="E7" s="19" t="s">
        <v>23</v>
      </c>
      <c r="J7" s="112" t="s">
        <v>40</v>
      </c>
      <c r="K7" s="116">
        <f>1/(-PMT((1+K1)/(1+K2)-1,K5,1,0,1)*(1+K1)^0.5)</f>
        <v>11.416589843334782</v>
      </c>
    </row>
    <row r="8" spans="2:17" ht="15.75" thickBot="1" x14ac:dyDescent="0.3">
      <c r="C8" s="19" t="s">
        <v>30</v>
      </c>
      <c r="D8"/>
      <c r="E8" s="61">
        <f>'Disc Rate Chg - Misc'!Q7+'Disc Rate Chg - Safety'!P7</f>
        <v>848372949</v>
      </c>
      <c r="J8" s="127"/>
      <c r="K8" s="128"/>
      <c r="L8" s="128"/>
      <c r="M8" s="129"/>
      <c r="N8" s="92" t="s">
        <v>48</v>
      </c>
      <c r="O8" s="93"/>
      <c r="P8" s="93"/>
      <c r="Q8" s="94"/>
    </row>
    <row r="9" spans="2:17" ht="30.75" thickBot="1" x14ac:dyDescent="0.3">
      <c r="C9" s="61">
        <f>'Disc Rate Chg - Misc'!N7+'Disc Rate Chg - Safety'!M7</f>
        <v>76501023.716800004</v>
      </c>
      <c r="D9" s="26" t="s">
        <v>15</v>
      </c>
      <c r="E9" s="92" t="s">
        <v>45</v>
      </c>
      <c r="F9" s="93"/>
      <c r="G9" s="94"/>
      <c r="H9" s="34" t="s">
        <v>26</v>
      </c>
      <c r="I9" s="34" t="s">
        <v>32</v>
      </c>
      <c r="J9" s="125">
        <v>20</v>
      </c>
      <c r="K9" s="126" t="s">
        <v>49</v>
      </c>
      <c r="L9" s="126" t="s">
        <v>46</v>
      </c>
      <c r="M9" s="126" t="s">
        <v>47</v>
      </c>
      <c r="N9" s="104" t="s">
        <v>24</v>
      </c>
      <c r="O9" s="105"/>
      <c r="P9" s="104" t="s">
        <v>25</v>
      </c>
      <c r="Q9" s="105"/>
    </row>
    <row r="10" spans="2:17" ht="15.75" customHeight="1" x14ac:dyDescent="0.25">
      <c r="B10" s="62" t="s">
        <v>14</v>
      </c>
      <c r="C10" s="62"/>
      <c r="D10" s="85">
        <v>2015</v>
      </c>
      <c r="E10" s="85" t="s">
        <v>6</v>
      </c>
      <c r="F10" s="85" t="s">
        <v>22</v>
      </c>
      <c r="G10" s="86" t="s">
        <v>10</v>
      </c>
      <c r="H10" s="85" t="s">
        <v>16</v>
      </c>
      <c r="I10" s="119" t="s">
        <v>16</v>
      </c>
      <c r="J10" s="123" t="s">
        <v>43</v>
      </c>
      <c r="K10" s="123" t="s">
        <v>44</v>
      </c>
      <c r="L10" s="123" t="s">
        <v>44</v>
      </c>
      <c r="M10" s="124" t="s">
        <v>50</v>
      </c>
      <c r="N10" s="121" t="s">
        <v>9</v>
      </c>
      <c r="O10" s="86" t="s">
        <v>12</v>
      </c>
      <c r="P10" s="86" t="s">
        <v>9</v>
      </c>
      <c r="Q10" s="86" t="s">
        <v>12</v>
      </c>
    </row>
    <row r="11" spans="2:17" x14ac:dyDescent="0.25">
      <c r="B11" s="37">
        <v>7.4999999999999997E-2</v>
      </c>
      <c r="C11" s="47">
        <f>'Disc Rate Chg - Misc'!N10+'Disc Rate Chg - Safety'!M10</f>
        <v>0</v>
      </c>
      <c r="D11" s="53">
        <f>(E$8-E11)/E$8</f>
        <v>0.67505570949080318</v>
      </c>
      <c r="E11" s="81">
        <f>'Disc Rate Chg - Misc'!Q10+'Disc Rate Chg - Safety'!P10</f>
        <v>275673946</v>
      </c>
      <c r="F11" s="83">
        <f>'Disc Rate Chg - Misc'!R10+'Disc Rate Chg - Safety'!Q10</f>
        <v>37861256</v>
      </c>
      <c r="G11" s="81">
        <f>'Disc Rate Chg - Misc'!S10+'Disc Rate Chg - Safety'!R10</f>
        <v>313535202</v>
      </c>
      <c r="H11" s="81">
        <f>'Disc Rate Chg - Misc'!T10+'Disc Rate Chg - Safety'!S10</f>
        <v>0</v>
      </c>
      <c r="I11" s="120"/>
      <c r="J11" s="118" t="s">
        <v>41</v>
      </c>
      <c r="K11" s="118" t="s">
        <v>42</v>
      </c>
      <c r="L11" s="118" t="s">
        <v>42</v>
      </c>
      <c r="M11" s="122" t="s">
        <v>51</v>
      </c>
      <c r="N11" s="83">
        <f>-PMT((B11+1)/1.03-1,20,G11*(B11+1)^0.5,0,1)</f>
        <v>23673609.572823822</v>
      </c>
      <c r="O11" s="81">
        <f>N11+C11</f>
        <v>23673609.572823822</v>
      </c>
      <c r="P11" s="81">
        <f>-PMT(B11,20,G11*(B11+1)^0.5,0,1)</f>
        <v>29663098.497978501</v>
      </c>
      <c r="Q11" s="81">
        <f>P11+C11</f>
        <v>29663098.497978501</v>
      </c>
    </row>
    <row r="12" spans="2:17" x14ac:dyDescent="0.25">
      <c r="B12" s="131">
        <v>7.3749999999999996E-2</v>
      </c>
      <c r="C12" s="132">
        <f>'Disc Rate Chg - Misc'!N11+'Disc Rate Chg - Safety'!M11</f>
        <v>467564.69846268557</v>
      </c>
      <c r="D12" s="133">
        <f t="shared" ref="D12:D18" si="0">(E$8-E12)/E$8</f>
        <v>0.66094023519407696</v>
      </c>
      <c r="E12" s="117">
        <f>'Disc Rate Chg - Misc'!Q11+'Disc Rate Chg - Safety'!P11</f>
        <v>287649132.55564731</v>
      </c>
      <c r="F12" s="117">
        <f>'Disc Rate Chg - Misc'!R11+'Disc Rate Chg - Safety'!Q11</f>
        <v>37861256</v>
      </c>
      <c r="G12" s="117">
        <f>'Disc Rate Chg - Misc'!S11+'Disc Rate Chg - Safety'!R11</f>
        <v>325510388.55564731</v>
      </c>
      <c r="H12" s="117">
        <f>'Disc Rate Chg - Misc'!T11+'Disc Rate Chg - Safety'!S11</f>
        <v>11975186.555647299</v>
      </c>
      <c r="I12" s="117">
        <f>H12*1.07375^2</f>
        <v>13806660.360730601</v>
      </c>
      <c r="J12" s="134">
        <v>1</v>
      </c>
      <c r="K12" s="135">
        <f>IF(J$9&gt;0,-PMT((1+K$1)/(1+K$2)-1,K$5,I$12,0,1)*((1+K1)^0.5)/K$6,0)</f>
        <v>262984.94735607225</v>
      </c>
      <c r="L12" s="135">
        <f>-PMT((B12+1)/1.03-1,20,I12*(B12+1)^0.5,0,1)</f>
        <v>1032082.2585002584</v>
      </c>
      <c r="M12" s="135">
        <f>-PMT(B12,20,H12*(B12+1)^0.5,0,1)</f>
        <v>1122859.3649067946</v>
      </c>
      <c r="N12" s="117">
        <f>-PMT((B12+1)/1.03-1,20,G12*(B12+1)^0.5,0,1)</f>
        <v>24332712.488629054</v>
      </c>
      <c r="O12" s="117">
        <f>L12+C12</f>
        <v>1499646.956962944</v>
      </c>
      <c r="P12" s="117">
        <f>-PMT(B12,20,G12*(B12+1)^0.5,0,1)</f>
        <v>30521644.607848991</v>
      </c>
      <c r="Q12" s="117">
        <f>M12+C12</f>
        <v>1590424.0633694802</v>
      </c>
    </row>
    <row r="13" spans="2:17" x14ac:dyDescent="0.25">
      <c r="B13" s="136">
        <v>7.2499999999999995E-2</v>
      </c>
      <c r="C13" s="132">
        <f>'Disc Rate Chg - Misc'!N12+'Disc Rate Chg - Safety'!M12</f>
        <v>948848.49574008863</v>
      </c>
      <c r="D13" s="133">
        <f t="shared" si="0"/>
        <v>0.64620389255553679</v>
      </c>
      <c r="E13" s="117">
        <f>'Disc Rate Chg - Misc'!Q12+'Disc Rate Chg - Safety'!P12</f>
        <v>300151047.01738012</v>
      </c>
      <c r="F13" s="117">
        <f>'Disc Rate Chg - Misc'!R12+'Disc Rate Chg - Safety'!Q12</f>
        <v>37861256</v>
      </c>
      <c r="G13" s="117">
        <f>'Disc Rate Chg - Misc'!S12+'Disc Rate Chg - Safety'!R12</f>
        <v>338012303.01738012</v>
      </c>
      <c r="H13" s="117">
        <f>'Disc Rate Chg - Misc'!T12+'Disc Rate Chg - Safety'!S12</f>
        <v>12501914.46173282</v>
      </c>
      <c r="I13" s="117">
        <f>H13*1.0725^2</f>
        <v>14380405.246573562</v>
      </c>
      <c r="J13" s="137">
        <v>1</v>
      </c>
      <c r="K13" s="117">
        <f>IF(J$9&gt;0,-PMT((1+K$1)/(1+K$2)-1,K$5,I$12,0,1)*((1+K2)^0.5)/K$6,0)</f>
        <v>257421.76957860222</v>
      </c>
      <c r="L13" s="135">
        <f t="shared" ref="L13:L18" si="1">-PMT((B13+1)/1.03-1,20,I13*(B13+1)^0.5,0,1)</f>
        <v>1064192.7703730967</v>
      </c>
      <c r="M13" s="117">
        <f t="shared" ref="M13:M18" si="2">-PMT(B13,20,H13*(B13+1)^0.5,0,1)</f>
        <v>1161743.3689832899</v>
      </c>
      <c r="N13" s="117">
        <f>-PMT((B13+1)/1.03-1,20,G13*(B13+1)^0.5,0,1)</f>
        <v>25013916.019784283</v>
      </c>
      <c r="O13" s="117">
        <f>N13+C13</f>
        <v>25962764.515524372</v>
      </c>
      <c r="P13" s="117">
        <f>-PMT(B13,20,G13*(B13+1)^0.5,0,1)</f>
        <v>31409873.493150122</v>
      </c>
      <c r="Q13" s="117">
        <f>P13+C13</f>
        <v>32358721.988890212</v>
      </c>
    </row>
    <row r="14" spans="2:17" x14ac:dyDescent="0.25">
      <c r="B14" s="136">
        <v>7.0000000000000007E-2</v>
      </c>
      <c r="C14" s="132">
        <f>'Disc Rate Chg - Misc'!N13+'Disc Rate Chg - Safety'!M13</f>
        <v>1954195.3641547095</v>
      </c>
      <c r="D14" s="133">
        <f t="shared" si="0"/>
        <v>0.6147567155867163</v>
      </c>
      <c r="E14" s="117">
        <f>'Disc Rate Chg - Misc'!Q13+'Disc Rate Chg - Safety'!P13</f>
        <v>326829981.28014326</v>
      </c>
      <c r="F14" s="117">
        <f>'Disc Rate Chg - Misc'!R13+'Disc Rate Chg - Safety'!Q13</f>
        <v>37861256</v>
      </c>
      <c r="G14" s="117">
        <f>'Disc Rate Chg - Misc'!S13+'Disc Rate Chg - Safety'!R13</f>
        <v>364691237.28014326</v>
      </c>
      <c r="H14" s="117">
        <f>'Disc Rate Chg - Misc'!T13+'Disc Rate Chg - Safety'!S13</f>
        <v>26678934.262763113</v>
      </c>
      <c r="I14" s="117">
        <f>H14*1.07^2</f>
        <v>30544711.837437488</v>
      </c>
      <c r="J14" s="137">
        <v>1</v>
      </c>
      <c r="K14" s="117">
        <f>IF(J$9&gt;0,-PMT((1+K$1)/(1+K$2)-1,K$5,I$12,0,1)*((1+K3)^0.5)/K$6,0)</f>
        <v>253645.20640265913</v>
      </c>
      <c r="L14" s="135">
        <f t="shared" si="1"/>
        <v>2214928.9707992459</v>
      </c>
      <c r="M14" s="117">
        <f t="shared" si="2"/>
        <v>2434535.0726312017</v>
      </c>
      <c r="N14" s="117">
        <f>-PMT((B14+1)/1.03-1,20,G14*(B14+1)^0.5,0,1)</f>
        <v>26445336.631343313</v>
      </c>
      <c r="O14" s="117">
        <f>N14+C14</f>
        <v>28399531.995498024</v>
      </c>
      <c r="P14" s="117">
        <f>-PMT(B14,20,G14*(B14+1)^0.5,0,1)</f>
        <v>33279200.701768294</v>
      </c>
      <c r="Q14" s="117">
        <f>P14+C14</f>
        <v>35233396.065923005</v>
      </c>
    </row>
    <row r="15" spans="2:17" x14ac:dyDescent="0.25">
      <c r="B15" s="44">
        <v>6.7500000000000004E-2</v>
      </c>
      <c r="C15" s="47">
        <f>'Disc Rate Chg - Misc'!N14+'Disc Rate Chg - Safety'!M14</f>
        <v>3019404.7624573475</v>
      </c>
      <c r="D15" s="51">
        <f t="shared" si="0"/>
        <v>0.5804775802606742</v>
      </c>
      <c r="E15" s="82">
        <f>'Disc Rate Chg - Misc'!Q14+'Disc Rate Chg - Safety'!P14</f>
        <v>355911472.40586764</v>
      </c>
      <c r="F15" s="82">
        <f>'Disc Rate Chg - Misc'!R14+'Disc Rate Chg - Safety'!Q14</f>
        <v>37861256</v>
      </c>
      <c r="G15" s="82">
        <f>'Disc Rate Chg - Misc'!S14+'Disc Rate Chg - Safety'!R14</f>
        <v>393772728.40586764</v>
      </c>
      <c r="H15" s="82">
        <f>'Disc Rate Chg - Misc'!T14+'Disc Rate Chg - Safety'!S14</f>
        <v>29081491.125724405</v>
      </c>
      <c r="I15" s="82">
        <f t="shared" ref="I15:I18" si="3">H15*1.07^2</f>
        <v>33295399.189841874</v>
      </c>
      <c r="J15" s="108">
        <v>1</v>
      </c>
      <c r="K15" s="82">
        <f>IF(J$9&gt;0,-PMT((1+K$1)/(1+K$2)-1,K$5,I$12,0,1)*((1+K4)^0.5)/K$6,0)</f>
        <v>621301.33138943557</v>
      </c>
      <c r="L15" s="82">
        <f t="shared" si="1"/>
        <v>2365294.7596811792</v>
      </c>
      <c r="M15" s="82">
        <f t="shared" si="2"/>
        <v>2605478.4748882903</v>
      </c>
      <c r="N15" s="84">
        <f>-PMT((B15+1)/1.03-1,20,G15*(B15+1)^0.5,0,1)</f>
        <v>27973491.643491618</v>
      </c>
      <c r="O15" s="82">
        <f>N15+C15</f>
        <v>30992896.405948967</v>
      </c>
      <c r="P15" s="82">
        <f>-PMT(B15,20,G15*(B15+1)^0.5,0,1)</f>
        <v>35279015.213631511</v>
      </c>
      <c r="Q15" s="82">
        <f>P15+C15</f>
        <v>38298419.976088859</v>
      </c>
    </row>
    <row r="16" spans="2:17" x14ac:dyDescent="0.25">
      <c r="B16" s="44">
        <v>6.5000000000000002E-2</v>
      </c>
      <c r="C16" s="47">
        <f>'Disc Rate Chg - Misc'!N15+'Disc Rate Chg - Safety'!M15</f>
        <v>4148041.1649069702</v>
      </c>
      <c r="D16" s="51">
        <f t="shared" si="0"/>
        <v>0.54310803113549067</v>
      </c>
      <c r="E16" s="82">
        <f>'Disc Rate Chg - Misc'!Q15+'Disc Rate Chg - Safety'!P15</f>
        <v>387614787</v>
      </c>
      <c r="F16" s="82">
        <f>'Disc Rate Chg - Misc'!R15+'Disc Rate Chg - Safety'!Q15</f>
        <v>37861256</v>
      </c>
      <c r="G16" s="82">
        <f>'Disc Rate Chg - Misc'!S15+'Disc Rate Chg - Safety'!R15</f>
        <v>425476043</v>
      </c>
      <c r="H16" s="82">
        <f>'Disc Rate Chg - Misc'!T15+'Disc Rate Chg - Safety'!S15</f>
        <v>31703314.594132364</v>
      </c>
      <c r="I16" s="82">
        <f t="shared" si="3"/>
        <v>36297124.878822148</v>
      </c>
      <c r="J16" s="108">
        <v>1</v>
      </c>
      <c r="K16" s="82">
        <f>IF(J$9&gt;0,-PMT((1+K$1)/(1+K$2)-1,K$5,I$12,0,1)*((1+K5)^0.5)/K$6,0)</f>
        <v>1045805.9774297564</v>
      </c>
      <c r="L16" s="82">
        <f t="shared" si="1"/>
        <v>2525528.7793424306</v>
      </c>
      <c r="M16" s="82">
        <f t="shared" si="2"/>
        <v>2788092.0284216818</v>
      </c>
      <c r="N16" s="84">
        <f>-PMT((B16+1)/1.03-1,20,G16*(B16+1)^0.5,0,1)</f>
        <v>29604328.031617556</v>
      </c>
      <c r="O16" s="82">
        <f>N16+C16</f>
        <v>33752369.196524523</v>
      </c>
      <c r="P16" s="82">
        <f>-PMT(B16,20,G16*(B16+1)^0.5,0,1)</f>
        <v>37417739.405464388</v>
      </c>
      <c r="Q16" s="82">
        <f>P16+C16</f>
        <v>41565780.57037136</v>
      </c>
    </row>
    <row r="17" spans="2:25" x14ac:dyDescent="0.25">
      <c r="B17" s="44">
        <v>6.25E-2</v>
      </c>
      <c r="C17" s="47">
        <f>'Disc Rate Chg - Misc'!N16+'Disc Rate Chg - Safety'!M16</f>
        <v>5343881.2906206539</v>
      </c>
      <c r="D17" s="51">
        <f t="shared" si="0"/>
        <v>0.50236571029271149</v>
      </c>
      <c r="E17" s="82">
        <f>'Disc Rate Chg - Misc'!Q16+'Disc Rate Chg - Safety'!P16</f>
        <v>422179469.88249266</v>
      </c>
      <c r="F17" s="82">
        <f>'Disc Rate Chg - Misc'!R16+'Disc Rate Chg - Safety'!Q16</f>
        <v>37861256</v>
      </c>
      <c r="G17" s="82">
        <f>'Disc Rate Chg - Misc'!S16+'Disc Rate Chg - Safety'!R16</f>
        <v>460040725.88249266</v>
      </c>
      <c r="H17" s="82">
        <f>'Disc Rate Chg - Misc'!T16+'Disc Rate Chg - Safety'!S16</f>
        <v>34564682.882492691</v>
      </c>
      <c r="I17" s="82">
        <f t="shared" si="3"/>
        <v>39573105.432165883</v>
      </c>
      <c r="J17" s="108">
        <v>1</v>
      </c>
      <c r="K17" s="82">
        <f>IF(J$9&gt;0,-PMT((1+K$1)/(1+K$2)-1,K$5,I$12,0,1)*((1+K6)^0.5)/K$6,0)</f>
        <v>600156.64610867982</v>
      </c>
      <c r="L17" s="82">
        <f t="shared" si="1"/>
        <v>2696250.0662335255</v>
      </c>
      <c r="M17" s="82">
        <f t="shared" si="2"/>
        <v>2983142.2098513586</v>
      </c>
      <c r="N17" s="84">
        <f>-PMT((B17+1)/1.03-1,20,G17*(B17+1)^0.5,0,1)</f>
        <v>31344136.986090008</v>
      </c>
      <c r="O17" s="82">
        <f>N17+C17</f>
        <v>36688018.276710659</v>
      </c>
      <c r="P17" s="82">
        <f>-PMT(B17,20,G17*(B17+1)^0.5,0,1)</f>
        <v>39704310.677354373</v>
      </c>
      <c r="Q17" s="82">
        <f>P17+C17</f>
        <v>45048191.967975028</v>
      </c>
    </row>
    <row r="18" spans="2:25" x14ac:dyDescent="0.25">
      <c r="B18" s="40">
        <v>0.06</v>
      </c>
      <c r="C18" s="47">
        <f>'Disc Rate Chg - Misc'!N17+'Disc Rate Chg - Safety'!M17</f>
        <v>6610926.7416260159</v>
      </c>
      <c r="D18" s="51">
        <f t="shared" si="0"/>
        <v>0.45794211823114611</v>
      </c>
      <c r="E18" s="82">
        <f>'Disc Rate Chg - Misc'!Q17+'Disc Rate Chg - Safety'!P17</f>
        <v>459867243.68493593</v>
      </c>
      <c r="F18" s="82">
        <f>'Disc Rate Chg - Misc'!R17+'Disc Rate Chg - Safety'!Q17</f>
        <v>37861256</v>
      </c>
      <c r="G18" s="82">
        <f>'Disc Rate Chg - Misc'!S17+'Disc Rate Chg - Safety'!R17</f>
        <v>497728499.68493593</v>
      </c>
      <c r="H18" s="82">
        <f>'Disc Rate Chg - Misc'!T17+'Disc Rate Chg - Safety'!S17</f>
        <v>37687773.802443236</v>
      </c>
      <c r="I18" s="82">
        <f t="shared" si="3"/>
        <v>43148732.226417266</v>
      </c>
      <c r="J18" s="108">
        <v>1</v>
      </c>
      <c r="K18" s="82">
        <f>IF(J$9&gt;0,-PMT((1+K$1)/(1+K$2)-1,K$5,I$12,0,1)*((1+K7)^0.5)/K$6,0)</f>
        <v>893774.22619642667</v>
      </c>
      <c r="L18" s="82">
        <f t="shared" si="1"/>
        <v>2878114.1775185713</v>
      </c>
      <c r="M18" s="82">
        <f t="shared" si="2"/>
        <v>3191443.1826071851</v>
      </c>
      <c r="N18" s="84">
        <f>-PMT((B18+1)/1.03-1,20,G18*(B18+1)^0.5,0,1)</f>
        <v>33199572.214110617</v>
      </c>
      <c r="O18" s="82">
        <f>N18+C18</f>
        <v>39810498.95573663</v>
      </c>
      <c r="P18" s="82">
        <f>-PMT(B18,20,G18*(B18+1)^0.5,0,1)</f>
        <v>42148210.595708184</v>
      </c>
      <c r="Q18" s="82">
        <f>P18+C18</f>
        <v>48759137.337334201</v>
      </c>
    </row>
    <row r="19" spans="2:25" ht="15.75" thickBot="1" x14ac:dyDescent="0.3">
      <c r="B19" s="13"/>
      <c r="C19" s="2"/>
      <c r="D19"/>
      <c r="J19" s="107"/>
      <c r="K19" s="106"/>
      <c r="L19" s="106"/>
      <c r="M19" s="106"/>
      <c r="N19" s="5"/>
      <c r="O19" s="5"/>
      <c r="P19" s="28"/>
      <c r="Q19" s="5"/>
    </row>
    <row r="20" spans="2:25" ht="15.75" thickBot="1" x14ac:dyDescent="0.3">
      <c r="B20" s="35"/>
      <c r="E20" s="35" t="s">
        <v>28</v>
      </c>
      <c r="F20" s="13"/>
      <c r="G20" s="13"/>
      <c r="H20" s="27">
        <f>(E16/E11)^(1/4)-1</f>
        <v>8.8932985368413764E-2</v>
      </c>
      <c r="J20" s="107"/>
      <c r="K20" s="106"/>
      <c r="L20" s="106"/>
      <c r="M20" s="106"/>
      <c r="N20" s="21"/>
      <c r="P20" s="2"/>
      <c r="V20" s="5"/>
      <c r="W20" s="5"/>
      <c r="X20" s="28"/>
      <c r="Y20" s="5"/>
    </row>
    <row r="21" spans="2:25" ht="15.75" thickBot="1" x14ac:dyDescent="0.3">
      <c r="B21" s="30"/>
      <c r="E21" s="30" t="s">
        <v>27</v>
      </c>
      <c r="F21" s="13"/>
      <c r="G21" s="13"/>
      <c r="H21" s="16">
        <f>(E16/E11)^(1/8)-1</f>
        <v>4.3519518441516247E-2</v>
      </c>
      <c r="J21" s="107"/>
      <c r="K21" s="106"/>
      <c r="L21" s="106"/>
      <c r="M21" s="106"/>
    </row>
    <row r="22" spans="2:25" x14ac:dyDescent="0.25">
      <c r="B22" s="17"/>
      <c r="C22"/>
      <c r="J22" s="107"/>
      <c r="K22" s="106"/>
      <c r="L22" s="106"/>
      <c r="M22" s="106"/>
    </row>
    <row r="23" spans="2:25" x14ac:dyDescent="0.25">
      <c r="J23" s="107"/>
      <c r="K23" s="106"/>
      <c r="L23" s="106"/>
      <c r="M23" s="106"/>
    </row>
    <row r="24" spans="2:25" x14ac:dyDescent="0.25">
      <c r="J24" s="107"/>
      <c r="K24" s="106"/>
      <c r="L24" s="106"/>
      <c r="M24" s="106"/>
    </row>
    <row r="25" spans="2:25" x14ac:dyDescent="0.25">
      <c r="J25" s="107"/>
      <c r="K25" s="106"/>
      <c r="L25" s="106"/>
      <c r="M25" s="106"/>
    </row>
    <row r="26" spans="2:25" x14ac:dyDescent="0.25">
      <c r="J26" s="107"/>
      <c r="K26" s="106"/>
      <c r="L26" s="106"/>
      <c r="M26" s="106"/>
    </row>
    <row r="27" spans="2:25" x14ac:dyDescent="0.25">
      <c r="G27" t="s">
        <v>34</v>
      </c>
      <c r="J27" s="107"/>
      <c r="K27" s="106"/>
      <c r="L27" s="106"/>
      <c r="M27" s="106"/>
    </row>
    <row r="28" spans="2:25" x14ac:dyDescent="0.25">
      <c r="J28" s="107"/>
      <c r="K28" s="106"/>
      <c r="L28" s="106"/>
      <c r="M28" s="106"/>
    </row>
    <row r="29" spans="2:25" x14ac:dyDescent="0.25">
      <c r="J29" s="107"/>
      <c r="K29" s="106"/>
      <c r="L29" s="106"/>
      <c r="M29" s="106"/>
    </row>
    <row r="30" spans="2:25" x14ac:dyDescent="0.25">
      <c r="J30" s="107"/>
      <c r="K30" s="106"/>
      <c r="L30" s="106"/>
      <c r="M30" s="106"/>
    </row>
    <row r="31" spans="2:25" x14ac:dyDescent="0.25">
      <c r="J31" s="107"/>
      <c r="K31" s="106"/>
      <c r="L31" s="106"/>
      <c r="M31" s="106"/>
    </row>
    <row r="32" spans="2:25" x14ac:dyDescent="0.25">
      <c r="J32" s="107"/>
      <c r="K32" s="106"/>
      <c r="L32" s="106"/>
      <c r="M32" s="106"/>
    </row>
    <row r="33" spans="10:13" x14ac:dyDescent="0.25">
      <c r="J33" s="107"/>
      <c r="K33" s="106"/>
      <c r="L33" s="106"/>
      <c r="M33" s="106"/>
    </row>
    <row r="34" spans="10:13" x14ac:dyDescent="0.25">
      <c r="J34" s="107"/>
      <c r="K34" s="106"/>
      <c r="L34" s="106"/>
      <c r="M34" s="106"/>
    </row>
    <row r="35" spans="10:13" x14ac:dyDescent="0.25">
      <c r="J35" s="107"/>
      <c r="K35" s="106"/>
      <c r="L35" s="106"/>
      <c r="M35" s="106"/>
    </row>
  </sheetData>
  <mergeCells count="5">
    <mergeCell ref="J8:M8"/>
    <mergeCell ref="E9:G9"/>
    <mergeCell ref="N9:O9"/>
    <mergeCell ref="P9:Q9"/>
    <mergeCell ref="N8:Q8"/>
  </mergeCells>
  <hyperlinks>
    <hyperlink ref="E21" r:id="rId1" display="Extrapolation@1/8th"/>
    <hyperlink ref="E20" r:id="rId2" display="Extrapolation@1/4th"/>
  </hyperlinks>
  <pageMargins left="0.25" right="0.25" top="0.75" bottom="0.75" header="0.3" footer="0.3"/>
  <pageSetup scale="63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fitToPage="1"/>
  </sheetPr>
  <dimension ref="A1:X31"/>
  <sheetViews>
    <sheetView tabSelected="1" topLeftCell="B1" workbookViewId="0">
      <selection activeCell="G33" sqref="G33"/>
    </sheetView>
  </sheetViews>
  <sheetFormatPr defaultRowHeight="15" x14ac:dyDescent="0.25"/>
  <cols>
    <col min="1" max="1" width="9" customWidth="1"/>
    <col min="2" max="2" width="3" style="17" bestFit="1" customWidth="1"/>
    <col min="4" max="4" width="13" customWidth="1"/>
    <col min="5" max="5" width="10.140625" style="13" bestFit="1" customWidth="1"/>
    <col min="6" max="7" width="10.140625" style="13" customWidth="1"/>
    <col min="8" max="8" width="13.42578125" bestFit="1" customWidth="1"/>
    <col min="9" max="9" width="11.7109375" bestFit="1" customWidth="1"/>
    <col min="10" max="10" width="4.7109375" customWidth="1"/>
    <col min="11" max="11" width="11.7109375" hidden="1" customWidth="1"/>
    <col min="12" max="12" width="8.140625" bestFit="1" customWidth="1"/>
    <col min="13" max="13" width="6.42578125" customWidth="1"/>
    <col min="14" max="14" width="15.28515625" bestFit="1" customWidth="1"/>
    <col min="15" max="15" width="14.28515625" bestFit="1" customWidth="1"/>
    <col min="16" max="16" width="7.7109375" bestFit="1" customWidth="1"/>
    <col min="17" max="17" width="15.28515625" bestFit="1" customWidth="1"/>
    <col min="18" max="18" width="12.7109375" customWidth="1"/>
    <col min="19" max="19" width="14.28515625" bestFit="1" customWidth="1"/>
    <col min="20" max="22" width="14.28515625" customWidth="1"/>
    <col min="23" max="23" width="12.85546875" bestFit="1" customWidth="1"/>
    <col min="24" max="24" width="14.5703125" bestFit="1" customWidth="1"/>
  </cols>
  <sheetData>
    <row r="1" spans="1:24" ht="15.75" thickBot="1" x14ac:dyDescent="0.3">
      <c r="B1" s="66"/>
      <c r="C1" s="65" t="s">
        <v>2</v>
      </c>
      <c r="D1" s="65"/>
      <c r="E1" s="23" t="s">
        <v>5</v>
      </c>
      <c r="F1" s="32"/>
      <c r="G1" s="32"/>
      <c r="H1" s="65"/>
      <c r="I1" s="65"/>
      <c r="J1" s="65"/>
      <c r="K1" s="65"/>
      <c r="L1" s="65"/>
    </row>
    <row r="2" spans="1:24" x14ac:dyDescent="0.25">
      <c r="B2" s="66"/>
      <c r="C2" s="65"/>
      <c r="D2" s="65"/>
      <c r="E2" s="67"/>
      <c r="F2" s="67"/>
      <c r="G2" s="67"/>
      <c r="H2" s="65"/>
      <c r="I2" s="65"/>
      <c r="J2" s="65"/>
      <c r="K2" s="65"/>
      <c r="L2" s="65"/>
    </row>
    <row r="3" spans="1:24" x14ac:dyDescent="0.25">
      <c r="B3" s="66"/>
      <c r="C3" s="65"/>
      <c r="D3" s="65"/>
      <c r="E3" s="67"/>
      <c r="F3" s="67"/>
      <c r="G3" s="67"/>
      <c r="H3" s="65"/>
      <c r="I3" s="65"/>
      <c r="J3" s="65"/>
      <c r="K3" s="65"/>
      <c r="L3" s="65"/>
    </row>
    <row r="4" spans="1:24" x14ac:dyDescent="0.25">
      <c r="B4" s="99" t="s"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</row>
    <row r="5" spans="1:24" ht="15.75" thickBot="1" x14ac:dyDescent="0.3"/>
    <row r="6" spans="1:24" ht="15.75" thickBot="1" x14ac:dyDescent="0.3">
      <c r="G6" s="30"/>
      <c r="N6" s="74" t="s">
        <v>8</v>
      </c>
      <c r="O6" s="65"/>
      <c r="P6" s="65"/>
      <c r="Q6" s="74" t="s">
        <v>23</v>
      </c>
    </row>
    <row r="7" spans="1:24" ht="15.75" thickBot="1" x14ac:dyDescent="0.3">
      <c r="G7" s="33"/>
      <c r="H7" s="22"/>
      <c r="I7" s="22"/>
      <c r="N7" s="25">
        <f>40421645*1.03^2</f>
        <v>42883323.180500001</v>
      </c>
      <c r="Q7" s="25">
        <v>356419112</v>
      </c>
    </row>
    <row r="8" spans="1:24" s="65" customFormat="1" ht="30.75" thickBot="1" x14ac:dyDescent="0.3">
      <c r="B8" s="66"/>
      <c r="E8" s="67"/>
      <c r="F8" s="101" t="s">
        <v>16</v>
      </c>
      <c r="G8" s="102"/>
      <c r="H8" s="102"/>
      <c r="I8" s="103"/>
      <c r="P8" s="68" t="s">
        <v>15</v>
      </c>
      <c r="Q8" s="95" t="s">
        <v>11</v>
      </c>
      <c r="R8" s="100"/>
      <c r="S8" s="96"/>
      <c r="T8" s="69" t="s">
        <v>26</v>
      </c>
      <c r="U8" s="95" t="s">
        <v>24</v>
      </c>
      <c r="V8" s="96"/>
      <c r="W8" s="95" t="s">
        <v>25</v>
      </c>
      <c r="X8" s="96"/>
    </row>
    <row r="9" spans="1:24" s="65" customFormat="1" ht="15.75" customHeight="1" thickBot="1" x14ac:dyDescent="0.3">
      <c r="B9" s="66"/>
      <c r="C9" s="70" t="s">
        <v>14</v>
      </c>
      <c r="D9" s="97" t="s">
        <v>0</v>
      </c>
      <c r="E9" s="98"/>
      <c r="F9" s="71" t="s">
        <v>17</v>
      </c>
      <c r="G9" s="71" t="s">
        <v>18</v>
      </c>
      <c r="H9" s="72" t="s">
        <v>19</v>
      </c>
      <c r="I9" s="74" t="s">
        <v>52</v>
      </c>
      <c r="K9" s="73" t="s">
        <v>4</v>
      </c>
      <c r="L9" s="74" t="s">
        <v>3</v>
      </c>
      <c r="N9" s="64" t="s">
        <v>7</v>
      </c>
      <c r="P9" s="75">
        <v>2015</v>
      </c>
      <c r="Q9" s="75" t="s">
        <v>6</v>
      </c>
      <c r="R9" s="76" t="s">
        <v>22</v>
      </c>
      <c r="S9" s="77" t="s">
        <v>10</v>
      </c>
      <c r="T9" s="78" t="s">
        <v>16</v>
      </c>
      <c r="U9" s="79" t="s">
        <v>9</v>
      </c>
      <c r="V9" s="77" t="s">
        <v>12</v>
      </c>
      <c r="W9" s="79" t="s">
        <v>9</v>
      </c>
      <c r="X9" s="77" t="s">
        <v>12</v>
      </c>
    </row>
    <row r="10" spans="1:24" ht="15.75" thickBot="1" x14ac:dyDescent="0.3">
      <c r="A10" s="12"/>
      <c r="C10" s="31">
        <v>7.4999999999999997E-2</v>
      </c>
      <c r="D10" s="24">
        <v>0.16016</v>
      </c>
      <c r="E10" s="13">
        <v>0.16020000000000001</v>
      </c>
      <c r="H10" s="18"/>
      <c r="I10" s="18"/>
      <c r="J10" s="1"/>
      <c r="K10" s="1"/>
      <c r="L10" s="63">
        <v>0.11075</v>
      </c>
      <c r="N10" s="47">
        <f t="shared" ref="N10:N17" si="0">(N$7*E10)-(N$7*E$10)</f>
        <v>0</v>
      </c>
      <c r="P10" s="53">
        <f>(Q$7-Q10)/Q$7</f>
        <v>0.7160551732702819</v>
      </c>
      <c r="Q10" s="25">
        <v>101203363</v>
      </c>
      <c r="R10" s="54">
        <v>18930628</v>
      </c>
      <c r="S10" s="29">
        <f>Q10+R10</f>
        <v>120133991</v>
      </c>
      <c r="T10" s="29"/>
      <c r="U10" s="29">
        <f>-PMT((C10+1)/1.03-1,20,S10*(C10+1)^0.5,0,1)</f>
        <v>9070768.3896978535</v>
      </c>
      <c r="V10" s="29">
        <f t="shared" ref="V10:V17" si="1">U10+N10</f>
        <v>9070768.3896978535</v>
      </c>
      <c r="W10" s="48">
        <f>-PMT(C10,20,S10*(C10+1)^0.5,0,1)</f>
        <v>11365697.967108212</v>
      </c>
      <c r="X10" s="29">
        <f t="shared" ref="X10:X17" si="2">W10+N10</f>
        <v>11365697.967108212</v>
      </c>
    </row>
    <row r="11" spans="1:24" x14ac:dyDescent="0.25">
      <c r="A11" s="12"/>
      <c r="C11" s="43">
        <v>7.3749999999999996E-2</v>
      </c>
      <c r="D11" s="13"/>
      <c r="E11" s="38">
        <f>(1+F$20)*E10</f>
        <v>0.16490964174903741</v>
      </c>
      <c r="F11" s="38">
        <f>E11-E10</f>
        <v>4.7096417490374021E-3</v>
      </c>
      <c r="G11" s="38">
        <f>E11/E10-1</f>
        <v>2.9398512790495657E-2</v>
      </c>
      <c r="H11" s="45">
        <f t="shared" ref="H11:H16" si="3">E11/E$10-1</f>
        <v>2.9398512790495657E-2</v>
      </c>
      <c r="I11" s="45">
        <f>H11-H10</f>
        <v>2.9398512790495657E-2</v>
      </c>
      <c r="J11" s="1"/>
      <c r="K11" s="1"/>
      <c r="L11" s="41">
        <f>L$10*(1+H11)</f>
        <v>0.1140058852915474</v>
      </c>
      <c r="N11" s="47">
        <f t="shared" si="0"/>
        <v>201965.08918834664</v>
      </c>
      <c r="P11" s="46">
        <f t="shared" ref="P11:P17" si="4">(Q$7-Q11)/Q$7</f>
        <v>0.7019062471754034</v>
      </c>
      <c r="Q11" s="55">
        <f>(T$20+1)*Q10</f>
        <v>106246310.67449023</v>
      </c>
      <c r="R11" s="47">
        <v>18930628</v>
      </c>
      <c r="S11" s="29">
        <f>Q11+R11</f>
        <v>125176938.67449023</v>
      </c>
      <c r="T11" s="138">
        <f>S11-S10</f>
        <v>5042947.6744902283</v>
      </c>
      <c r="U11" s="29">
        <f t="shared" ref="U11:U17" si="5">-PMT((C11+1)/1.03-1,20,S11*(C11+1)^0.5,0,1)</f>
        <v>9357288.019249849</v>
      </c>
      <c r="V11" s="29">
        <f t="shared" si="1"/>
        <v>9559253.1084381957</v>
      </c>
      <c r="W11" s="48">
        <f t="shared" ref="W11:W17" si="6">-PMT(C11,20,S11*(C11+1)^0.5,0,1)</f>
        <v>11737278.347010884</v>
      </c>
      <c r="X11" s="29">
        <f t="shared" si="2"/>
        <v>11939243.436199231</v>
      </c>
    </row>
    <row r="12" spans="1:24" x14ac:dyDescent="0.25">
      <c r="A12" s="12"/>
      <c r="C12" s="37">
        <v>7.2499999999999995E-2</v>
      </c>
      <c r="D12" s="13"/>
      <c r="E12" s="38">
        <f>(1+F$19)*E10</f>
        <v>0.16975773996127258</v>
      </c>
      <c r="F12" s="38">
        <f t="shared" ref="F12:F17" si="7">E12-E11</f>
        <v>4.848098212235169E-3</v>
      </c>
      <c r="G12" s="38">
        <f t="shared" ref="G12:G17" si="8">E12/E11-1</f>
        <v>2.9398512790495879E-2</v>
      </c>
      <c r="H12" s="45">
        <f t="shared" si="3"/>
        <v>5.9661298135284424E-2</v>
      </c>
      <c r="I12" s="45">
        <f t="shared" ref="I12:I17" si="9">H12-H11</f>
        <v>3.0262785344788767E-2</v>
      </c>
      <c r="J12" s="12"/>
      <c r="K12" s="21">
        <f>K10*(1+E$12)</f>
        <v>0</v>
      </c>
      <c r="L12" s="41">
        <f>L10*(1+H$12)</f>
        <v>0.11735748876848275</v>
      </c>
      <c r="M12" s="14"/>
      <c r="N12" s="47">
        <f t="shared" si="0"/>
        <v>409867.65163443144</v>
      </c>
      <c r="P12" s="46">
        <f t="shared" si="4"/>
        <v>0.68705228231667748</v>
      </c>
      <c r="Q12" s="47">
        <f>(T$19+1)*Q10</f>
        <v>111540547.6391165</v>
      </c>
      <c r="R12" s="47">
        <v>18930628</v>
      </c>
      <c r="S12" s="29">
        <f t="shared" ref="S12:S17" si="10">Q12+R12</f>
        <v>130471175.6391165</v>
      </c>
      <c r="T12" s="138">
        <f>S12-S11</f>
        <v>5294236.9646262676</v>
      </c>
      <c r="U12" s="29">
        <f t="shared" si="5"/>
        <v>9655255.1528622191</v>
      </c>
      <c r="V12" s="29">
        <f t="shared" si="1"/>
        <v>10065122.80449665</v>
      </c>
      <c r="W12" s="48">
        <f t="shared" si="6"/>
        <v>12124064.966701824</v>
      </c>
      <c r="X12" s="29">
        <f t="shared" si="2"/>
        <v>12533932.618336257</v>
      </c>
    </row>
    <row r="13" spans="1:24" x14ac:dyDescent="0.25">
      <c r="A13" s="12"/>
      <c r="C13" s="37">
        <v>7.0000000000000007E-2</v>
      </c>
      <c r="D13" s="13"/>
      <c r="E13" s="38">
        <f>(1+F$19)*E12</f>
        <v>0.17988570709587415</v>
      </c>
      <c r="F13" s="38">
        <f t="shared" si="7"/>
        <v>1.0127967134601568E-2</v>
      </c>
      <c r="G13" s="38">
        <f t="shared" si="8"/>
        <v>5.9661298135284424E-2</v>
      </c>
      <c r="H13" s="45">
        <f t="shared" si="3"/>
        <v>0.12288206676575619</v>
      </c>
      <c r="I13" s="45">
        <f t="shared" si="9"/>
        <v>6.3220768630471769E-2</v>
      </c>
      <c r="J13" s="12"/>
      <c r="K13" s="21">
        <f t="shared" ref="K13:K17" si="11">K12*(1+E$12)</f>
        <v>0</v>
      </c>
      <c r="L13" s="41">
        <f t="shared" ref="L13:L17" si="12">L12*(1+H$12)</f>
        <v>0.12435918889430748</v>
      </c>
      <c r="M13" s="15"/>
      <c r="N13" s="47">
        <f t="shared" si="0"/>
        <v>844188.53942903318</v>
      </c>
      <c r="P13" s="46">
        <f t="shared" si="4"/>
        <v>0.6550869578038685</v>
      </c>
      <c r="Q13" s="47">
        <f>(T$19+1)*Q12</f>
        <v>122933600.21676371</v>
      </c>
      <c r="R13" s="47">
        <v>18930628</v>
      </c>
      <c r="S13" s="29">
        <f t="shared" si="10"/>
        <v>141864228.21676371</v>
      </c>
      <c r="T13" s="138">
        <f>S13-S12</f>
        <v>11393052.577647209</v>
      </c>
      <c r="U13" s="29">
        <f t="shared" si="5"/>
        <v>10287187.866420114</v>
      </c>
      <c r="V13" s="29">
        <f t="shared" si="1"/>
        <v>11131376.405849148</v>
      </c>
      <c r="W13" s="48">
        <f t="shared" si="6"/>
        <v>12945548.564416235</v>
      </c>
      <c r="X13" s="29">
        <f t="shared" si="2"/>
        <v>13789737.103845268</v>
      </c>
    </row>
    <row r="14" spans="1:24" ht="15.75" thickBot="1" x14ac:dyDescent="0.3">
      <c r="A14" s="12"/>
      <c r="C14" s="44">
        <v>6.7500000000000004E-2</v>
      </c>
      <c r="D14" s="13"/>
      <c r="E14" s="40">
        <f>(1+F$19)*E13</f>
        <v>0.19061792189719753</v>
      </c>
      <c r="F14" s="40">
        <f t="shared" si="7"/>
        <v>1.0732214801323386E-2</v>
      </c>
      <c r="G14" s="40">
        <f t="shared" si="8"/>
        <v>5.9661298135284424E-2</v>
      </c>
      <c r="H14" s="40">
        <f t="shared" si="3"/>
        <v>0.18987466852183221</v>
      </c>
      <c r="I14" s="40">
        <f t="shared" si="9"/>
        <v>6.699260175607602E-2</v>
      </c>
      <c r="J14" s="12"/>
      <c r="K14" s="21">
        <f t="shared" si="11"/>
        <v>0</v>
      </c>
      <c r="L14" s="41">
        <f t="shared" si="12"/>
        <v>0.13177861953879291</v>
      </c>
      <c r="M14" s="15"/>
      <c r="N14" s="47">
        <f t="shared" si="0"/>
        <v>1304421.575196729</v>
      </c>
      <c r="P14" s="51">
        <f t="shared" si="4"/>
        <v>0.6198566087726729</v>
      </c>
      <c r="Q14" s="52">
        <f>(T$19+1)*Q13</f>
        <v>135490369.93391252</v>
      </c>
      <c r="R14" s="52">
        <v>18930628</v>
      </c>
      <c r="S14" s="50">
        <f t="shared" si="10"/>
        <v>154420997.93391252</v>
      </c>
      <c r="T14" s="50">
        <f t="shared" ref="T14:T17" si="13">S14-S13</f>
        <v>12556769.717148811</v>
      </c>
      <c r="U14" s="49">
        <f t="shared" si="5"/>
        <v>10970019.464708999</v>
      </c>
      <c r="V14" s="50">
        <f t="shared" si="1"/>
        <v>12274441.039905727</v>
      </c>
      <c r="W14" s="50">
        <f t="shared" si="6"/>
        <v>13834936.607899128</v>
      </c>
      <c r="X14" s="50">
        <f t="shared" si="2"/>
        <v>15139358.183095858</v>
      </c>
    </row>
    <row r="15" spans="1:24" ht="15.75" thickBot="1" x14ac:dyDescent="0.3">
      <c r="A15" s="12"/>
      <c r="C15" s="44">
        <v>6.5000000000000002E-2</v>
      </c>
      <c r="D15" s="39">
        <v>0.20194000000000001</v>
      </c>
      <c r="E15" s="40">
        <f>(1+F$19)*E14</f>
        <v>0.20199043456543458</v>
      </c>
      <c r="F15" s="40">
        <f t="shared" si="7"/>
        <v>1.137251266823705E-2</v>
      </c>
      <c r="G15" s="40">
        <f t="shared" si="8"/>
        <v>5.9661298135284424E-2</v>
      </c>
      <c r="H15" s="40">
        <f t="shared" si="3"/>
        <v>0.26086413586413593</v>
      </c>
      <c r="I15" s="40">
        <f t="shared" si="9"/>
        <v>7.0989467342303714E-2</v>
      </c>
      <c r="K15" s="21">
        <f t="shared" si="11"/>
        <v>0</v>
      </c>
      <c r="L15" s="130">
        <f t="shared" si="12"/>
        <v>0.13964070304695306</v>
      </c>
      <c r="M15" s="15"/>
      <c r="N15" s="47">
        <f t="shared" si="0"/>
        <v>1792112.7113230685</v>
      </c>
      <c r="P15" s="51">
        <f t="shared" si="4"/>
        <v>0.58102773680666153</v>
      </c>
      <c r="Q15" s="25">
        <v>149329722</v>
      </c>
      <c r="R15" s="52">
        <v>18930628</v>
      </c>
      <c r="S15" s="50">
        <f t="shared" si="10"/>
        <v>168260350</v>
      </c>
      <c r="T15" s="50">
        <f t="shared" si="13"/>
        <v>13839352.066087484</v>
      </c>
      <c r="U15" s="49">
        <f t="shared" si="5"/>
        <v>11707438.475248722</v>
      </c>
      <c r="V15" s="50">
        <f t="shared" si="1"/>
        <v>13499551.186571792</v>
      </c>
      <c r="W15" s="50">
        <f t="shared" si="6"/>
        <v>14797359.409898032</v>
      </c>
      <c r="X15" s="50">
        <f t="shared" si="2"/>
        <v>16589472.121221099</v>
      </c>
    </row>
    <row r="16" spans="1:24" x14ac:dyDescent="0.25">
      <c r="A16" s="12"/>
      <c r="C16" s="44">
        <v>6.25E-2</v>
      </c>
      <c r="D16" s="12"/>
      <c r="E16" s="40">
        <f>(1+F$19)*E15</f>
        <v>0.21404144610251863</v>
      </c>
      <c r="F16" s="40">
        <f t="shared" si="7"/>
        <v>1.2051011537084044E-2</v>
      </c>
      <c r="G16" s="40">
        <f t="shared" si="8"/>
        <v>5.9661298135284424E-2</v>
      </c>
      <c r="H16" s="40">
        <f t="shared" si="3"/>
        <v>0.33608892698201376</v>
      </c>
      <c r="I16" s="40">
        <f t="shared" si="9"/>
        <v>7.5224791117877832E-2</v>
      </c>
      <c r="J16" s="12"/>
      <c r="K16" s="21">
        <f t="shared" si="11"/>
        <v>0</v>
      </c>
      <c r="L16" s="41">
        <f t="shared" si="12"/>
        <v>0.14797184866325805</v>
      </c>
      <c r="M16" s="15"/>
      <c r="N16" s="47">
        <f t="shared" si="0"/>
        <v>2308900.1337197786</v>
      </c>
      <c r="O16" s="12"/>
      <c r="P16" s="51">
        <f t="shared" si="4"/>
        <v>0.53823277906105726</v>
      </c>
      <c r="Q16" s="52">
        <f>(T$19+1)*Q15</f>
        <v>164582662.83776578</v>
      </c>
      <c r="R16" s="52">
        <v>18930628</v>
      </c>
      <c r="S16" s="50">
        <f t="shared" si="10"/>
        <v>183513290.83776578</v>
      </c>
      <c r="T16" s="50">
        <f t="shared" si="13"/>
        <v>15252940.837765783</v>
      </c>
      <c r="U16" s="49">
        <f t="shared" si="5"/>
        <v>12503383.729240412</v>
      </c>
      <c r="V16" s="50">
        <f t="shared" si="1"/>
        <v>14812283.86296019</v>
      </c>
      <c r="W16" s="50">
        <f t="shared" si="6"/>
        <v>15838312.355648836</v>
      </c>
      <c r="X16" s="50">
        <f t="shared" si="2"/>
        <v>18147212.489368614</v>
      </c>
    </row>
    <row r="17" spans="1:24" x14ac:dyDescent="0.25">
      <c r="A17" s="12"/>
      <c r="C17" s="40">
        <v>0.06</v>
      </c>
      <c r="D17" s="13"/>
      <c r="E17" s="40">
        <f>(1+F$19)*E16</f>
        <v>0.22681143663174841</v>
      </c>
      <c r="F17" s="40">
        <f t="shared" si="7"/>
        <v>1.276999052922978E-2</v>
      </c>
      <c r="G17" s="40">
        <f t="shared" si="8"/>
        <v>5.9661298135284424E-2</v>
      </c>
      <c r="H17" s="40">
        <f t="shared" ref="H17" si="14">E17/E$10-1</f>
        <v>0.4158017267899401</v>
      </c>
      <c r="I17" s="40">
        <f t="shared" si="9"/>
        <v>7.9712799807926338E-2</v>
      </c>
      <c r="J17" s="20"/>
      <c r="K17" s="21">
        <f t="shared" si="11"/>
        <v>0</v>
      </c>
      <c r="L17" s="42">
        <f t="shared" si="12"/>
        <v>0.15680004124198588</v>
      </c>
      <c r="M17" s="15"/>
      <c r="N17" s="47">
        <f t="shared" si="0"/>
        <v>2856519.7645966625</v>
      </c>
      <c r="O17" s="4"/>
      <c r="P17" s="51">
        <f t="shared" si="4"/>
        <v>0.49106662883008567</v>
      </c>
      <c r="Q17" s="52">
        <f>(T$19+1)*Q16</f>
        <v>181393580.21954727</v>
      </c>
      <c r="R17" s="52">
        <v>18930628</v>
      </c>
      <c r="S17" s="50">
        <f t="shared" si="10"/>
        <v>200324208.21954727</v>
      </c>
      <c r="T17" s="50">
        <f t="shared" si="13"/>
        <v>16810917.381781489</v>
      </c>
      <c r="U17" s="49">
        <f t="shared" si="5"/>
        <v>13362059.880495684</v>
      </c>
      <c r="V17" s="52">
        <f t="shared" si="1"/>
        <v>16218579.645092346</v>
      </c>
      <c r="W17" s="52">
        <f t="shared" si="6"/>
        <v>16963679.839110319</v>
      </c>
      <c r="X17" s="52">
        <f t="shared" si="2"/>
        <v>19820199.603706982</v>
      </c>
    </row>
    <row r="18" spans="1:24" ht="15.75" thickBot="1" x14ac:dyDescent="0.3">
      <c r="A18" s="12"/>
      <c r="C18" s="13"/>
      <c r="D18" s="13"/>
      <c r="H18" s="18"/>
      <c r="I18" s="18"/>
      <c r="K18" s="21"/>
      <c r="L18" s="21"/>
      <c r="N18" s="2"/>
      <c r="Q18" s="2"/>
      <c r="R18" s="2"/>
      <c r="S18" s="5"/>
      <c r="T18" s="5"/>
      <c r="U18" s="5"/>
      <c r="V18" s="5"/>
      <c r="W18" s="28"/>
      <c r="X18" s="5"/>
    </row>
    <row r="19" spans="1:24" ht="15.75" thickBot="1" x14ac:dyDescent="0.3">
      <c r="A19" s="12"/>
      <c r="C19" s="35" t="s">
        <v>20</v>
      </c>
      <c r="D19" s="13"/>
      <c r="F19" s="36">
        <f>(D15/D10)^(1/4)-1</f>
        <v>5.9661298135284424E-2</v>
      </c>
      <c r="H19" s="18"/>
      <c r="I19" s="18"/>
      <c r="K19" s="21"/>
      <c r="L19" s="21"/>
      <c r="N19" s="2"/>
      <c r="Q19" s="35" t="s">
        <v>20</v>
      </c>
      <c r="R19" s="13"/>
      <c r="S19" s="13"/>
      <c r="T19" s="27">
        <f>(Q15/Q10)^(1/4)-1</f>
        <v>0.10214269894486105</v>
      </c>
      <c r="U19" s="5"/>
      <c r="V19" s="5"/>
      <c r="W19" s="28"/>
      <c r="X19" s="5"/>
    </row>
    <row r="20" spans="1:24" ht="15.75" thickBot="1" x14ac:dyDescent="0.3">
      <c r="C20" s="30" t="s">
        <v>21</v>
      </c>
      <c r="D20" s="13"/>
      <c r="F20" s="36">
        <f>(D15/D10)^(1/8)-1</f>
        <v>2.9398512790495657E-2</v>
      </c>
      <c r="L20" s="12"/>
      <c r="Q20" s="30" t="s">
        <v>21</v>
      </c>
      <c r="R20" s="13"/>
      <c r="S20" s="13"/>
      <c r="T20" s="16">
        <f>(Q15/Q10)^(1/8)-1</f>
        <v>4.9829842853050588E-2</v>
      </c>
    </row>
    <row r="21" spans="1:24" x14ac:dyDescent="0.25">
      <c r="C21" s="17"/>
      <c r="E21"/>
      <c r="L21" s="91"/>
      <c r="N21" s="5"/>
    </row>
    <row r="24" spans="1:24" x14ac:dyDescent="0.25">
      <c r="C24" s="90"/>
      <c r="D24" t="s">
        <v>33</v>
      </c>
      <c r="N24" s="2"/>
      <c r="O24" s="4"/>
    </row>
    <row r="25" spans="1:24" x14ac:dyDescent="0.25">
      <c r="N25" s="2"/>
      <c r="O25" s="4"/>
    </row>
    <row r="26" spans="1:24" x14ac:dyDescent="0.25">
      <c r="N26" s="2"/>
      <c r="O26" s="4"/>
    </row>
    <row r="27" spans="1:24" x14ac:dyDescent="0.25">
      <c r="N27" s="2"/>
      <c r="O27" s="4"/>
    </row>
    <row r="28" spans="1:24" x14ac:dyDescent="0.25">
      <c r="N28" s="2"/>
      <c r="O28" s="4"/>
    </row>
    <row r="29" spans="1:24" x14ac:dyDescent="0.25">
      <c r="N29" s="2"/>
      <c r="O29" s="4"/>
    </row>
    <row r="31" spans="1:24" x14ac:dyDescent="0.25">
      <c r="O31" s="4"/>
    </row>
  </sheetData>
  <mergeCells count="6">
    <mergeCell ref="U8:V8"/>
    <mergeCell ref="W8:X8"/>
    <mergeCell ref="D9:E9"/>
    <mergeCell ref="B4:L4"/>
    <mergeCell ref="Q8:S8"/>
    <mergeCell ref="F8:I8"/>
  </mergeCells>
  <hyperlinks>
    <hyperlink ref="C20" r:id="rId1" display="Extrapolation@1/8th"/>
    <hyperlink ref="C19" r:id="rId2" display="Extrapolation@1/4th"/>
    <hyperlink ref="Q20" r:id="rId3" display="Extrapolation@1/8th"/>
    <hyperlink ref="Q19" r:id="rId4" display="Extrapolation@1/4th"/>
  </hyperlinks>
  <pageMargins left="0.25" right="0.25" top="0.75" bottom="0.75" header="0.3" footer="0.3"/>
  <pageSetup scale="52" orientation="landscape" verticalDpi="1200"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7"/>
  <sheetViews>
    <sheetView workbookViewId="0">
      <selection activeCell="J26" sqref="J26"/>
    </sheetView>
  </sheetViews>
  <sheetFormatPr defaultRowHeight="15" x14ac:dyDescent="0.25"/>
  <cols>
    <col min="4" max="5" width="14.42578125" bestFit="1" customWidth="1"/>
    <col min="6" max="7" width="13.42578125" bestFit="1" customWidth="1"/>
    <col min="9" max="9" width="9.7109375" bestFit="1" customWidth="1"/>
  </cols>
  <sheetData>
    <row r="4" spans="4:12" x14ac:dyDescent="0.25">
      <c r="D4" s="2"/>
      <c r="E4" s="2"/>
    </row>
    <row r="5" spans="4:12" x14ac:dyDescent="0.25">
      <c r="D5" s="3">
        <v>16.015999999999998</v>
      </c>
      <c r="E5" s="3">
        <v>20.193999999999999</v>
      </c>
      <c r="F5" s="1">
        <f>E5-D5</f>
        <v>4.1780000000000008</v>
      </c>
      <c r="G5" s="4">
        <f>F5*0.5</f>
        <v>2.0890000000000004</v>
      </c>
    </row>
    <row r="6" spans="4:12" x14ac:dyDescent="0.25">
      <c r="D6" s="2">
        <v>101203363</v>
      </c>
      <c r="E6" s="2">
        <v>149329722</v>
      </c>
      <c r="F6" s="5">
        <f>E6-D6</f>
        <v>48126359</v>
      </c>
      <c r="G6" s="5">
        <f>F6*0.5</f>
        <v>24063179.5</v>
      </c>
      <c r="I6">
        <v>491953837</v>
      </c>
      <c r="J6">
        <f>G6/I6</f>
        <v>4.8913490840401759E-2</v>
      </c>
    </row>
    <row r="8" spans="4:12" x14ac:dyDescent="0.25">
      <c r="D8">
        <v>26.966000000000001</v>
      </c>
      <c r="E8">
        <v>33.973999999999997</v>
      </c>
      <c r="F8" s="1">
        <f>E8-D8</f>
        <v>7.0079999999999956</v>
      </c>
      <c r="G8" s="4">
        <f>F8*0.5</f>
        <v>3.5039999999999978</v>
      </c>
    </row>
    <row r="9" spans="4:12" x14ac:dyDescent="0.25">
      <c r="D9">
        <v>174470583</v>
      </c>
      <c r="E9">
        <v>238285065</v>
      </c>
      <c r="F9" s="5">
        <f>E9-D9</f>
        <v>63814482</v>
      </c>
      <c r="G9" s="5">
        <f>F9*0.5</f>
        <v>31907241</v>
      </c>
      <c r="I9">
        <v>404545471</v>
      </c>
      <c r="J9">
        <f>G9/I9</f>
        <v>7.8871828477348097E-2</v>
      </c>
    </row>
    <row r="11" spans="4:12" x14ac:dyDescent="0.25">
      <c r="G11" s="5">
        <f>G6+G9</f>
        <v>55970420.5</v>
      </c>
    </row>
    <row r="12" spans="4:12" x14ac:dyDescent="0.25">
      <c r="K12">
        <v>70000000</v>
      </c>
      <c r="L12">
        <f>K12*0.03</f>
        <v>2100000</v>
      </c>
    </row>
    <row r="23" spans="5:7" x14ac:dyDescent="0.25">
      <c r="E23">
        <v>501</v>
      </c>
      <c r="F23">
        <v>891</v>
      </c>
      <c r="G23">
        <f>(F23/E23-1)^(1/9)</f>
        <v>0.9725548364387443</v>
      </c>
    </row>
    <row r="24" spans="5:7" x14ac:dyDescent="0.25">
      <c r="G24">
        <f>891+56</f>
        <v>947</v>
      </c>
    </row>
    <row r="27" spans="5:7" x14ac:dyDescent="0.25">
      <c r="G27">
        <f>315+56</f>
        <v>371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H8"/>
  <sheetViews>
    <sheetView workbookViewId="0">
      <selection activeCell="F45" sqref="F44:F45"/>
    </sheetView>
  </sheetViews>
  <sheetFormatPr defaultRowHeight="15" x14ac:dyDescent="0.25"/>
  <cols>
    <col min="4" max="8" width="11.5703125" bestFit="1" customWidth="1"/>
  </cols>
  <sheetData>
    <row r="3" spans="4:8" ht="15.75" thickBot="1" x14ac:dyDescent="0.3"/>
    <row r="4" spans="4:8" ht="15.75" thickBot="1" x14ac:dyDescent="0.3">
      <c r="D4" s="6">
        <v>15252972</v>
      </c>
      <c r="E4" s="7">
        <v>15336061</v>
      </c>
      <c r="F4" s="7">
        <v>15125321</v>
      </c>
      <c r="G4" s="7">
        <v>15546433</v>
      </c>
      <c r="H4" s="7">
        <v>15777875</v>
      </c>
    </row>
    <row r="5" spans="4:8" ht="15.75" thickBot="1" x14ac:dyDescent="0.3">
      <c r="D5" s="8">
        <v>-4700000</v>
      </c>
      <c r="E5" s="9">
        <v>-6130000</v>
      </c>
      <c r="F5" s="9">
        <v>-7400000</v>
      </c>
      <c r="G5" s="9">
        <v>-9000000</v>
      </c>
      <c r="H5" s="9">
        <v>-9500000</v>
      </c>
    </row>
    <row r="6" spans="4:8" ht="15.75" thickBot="1" x14ac:dyDescent="0.3">
      <c r="D6" s="11">
        <f>-D5/D4</f>
        <v>0.30813667002076711</v>
      </c>
      <c r="E6" s="11">
        <f>-E5/E4</f>
        <v>0.39971150349493262</v>
      </c>
      <c r="F6" s="11">
        <f>-F5/F4</f>
        <v>0.48924581501443837</v>
      </c>
      <c r="G6" s="11">
        <f>-G5/G4</f>
        <v>0.5789109308868472</v>
      </c>
      <c r="H6" s="11">
        <f>-H5/H4</f>
        <v>0.60210896587785112</v>
      </c>
    </row>
    <row r="7" spans="4:8" ht="15.75" thickBot="1" x14ac:dyDescent="0.3">
      <c r="D7" s="8">
        <v>10363920</v>
      </c>
      <c r="E7" s="9">
        <v>11572615</v>
      </c>
      <c r="F7" s="9">
        <v>13221380</v>
      </c>
      <c r="G7" s="9">
        <v>18900303</v>
      </c>
      <c r="H7" s="10">
        <v>21829268</v>
      </c>
    </row>
    <row r="8" spans="4:8" ht="15.75" thickBot="1" x14ac:dyDescent="0.3">
      <c r="D8" s="8">
        <f>D4+D5+D7</f>
        <v>20916892</v>
      </c>
      <c r="E8" s="8">
        <f>E4+E5+E7</f>
        <v>20778676</v>
      </c>
      <c r="F8" s="8">
        <f>F4+F5+F7</f>
        <v>20946701</v>
      </c>
      <c r="G8" s="8">
        <f>G4+G5+G7</f>
        <v>25446736</v>
      </c>
      <c r="H8" s="8">
        <f>H4+H5+H7</f>
        <v>28107143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  <pageSetUpPr fitToPage="1"/>
  </sheetPr>
  <dimension ref="A1:W28"/>
  <sheetViews>
    <sheetView workbookViewId="0">
      <selection activeCell="I33" sqref="I33"/>
    </sheetView>
  </sheetViews>
  <sheetFormatPr defaultRowHeight="15" x14ac:dyDescent="0.25"/>
  <cols>
    <col min="1" max="1" width="3" style="17" bestFit="1" customWidth="1"/>
    <col min="3" max="3" width="13" customWidth="1"/>
    <col min="4" max="4" width="10.140625" style="13" bestFit="1" customWidth="1"/>
    <col min="5" max="6" width="10.140625" style="13" customWidth="1"/>
    <col min="7" max="7" width="13.42578125" bestFit="1" customWidth="1"/>
    <col min="8" max="8" width="11.7109375" bestFit="1" customWidth="1"/>
    <col min="9" max="9" width="4.7109375" customWidth="1"/>
    <col min="10" max="10" width="11.7109375" hidden="1" customWidth="1"/>
    <col min="11" max="11" width="8.140625" bestFit="1" customWidth="1"/>
    <col min="12" max="12" width="6.42578125" customWidth="1"/>
    <col min="13" max="13" width="15.28515625" bestFit="1" customWidth="1"/>
    <col min="14" max="14" width="6.42578125" customWidth="1"/>
    <col min="15" max="15" width="7.7109375" bestFit="1" customWidth="1"/>
    <col min="16" max="16" width="15.28515625" bestFit="1" customWidth="1"/>
    <col min="17" max="17" width="12.7109375" customWidth="1"/>
    <col min="18" max="18" width="14.28515625" bestFit="1" customWidth="1"/>
    <col min="19" max="20" width="14.28515625" customWidth="1"/>
    <col min="21" max="21" width="15.5703125" customWidth="1"/>
    <col min="22" max="22" width="12.85546875" bestFit="1" customWidth="1"/>
    <col min="23" max="23" width="14.5703125" bestFit="1" customWidth="1"/>
  </cols>
  <sheetData>
    <row r="1" spans="1:23" ht="15.75" thickBot="1" x14ac:dyDescent="0.3">
      <c r="A1" s="66"/>
      <c r="B1" s="65" t="s">
        <v>2</v>
      </c>
      <c r="C1" s="65"/>
      <c r="D1" s="23" t="s">
        <v>5</v>
      </c>
      <c r="E1" s="32"/>
      <c r="F1" s="32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23" x14ac:dyDescent="0.25">
      <c r="A2" s="66"/>
      <c r="B2" s="65"/>
      <c r="C2" s="65"/>
      <c r="D2" s="67"/>
      <c r="E2" s="67"/>
      <c r="F2" s="67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3" x14ac:dyDescent="0.25">
      <c r="A3" s="66"/>
      <c r="B3" s="65"/>
      <c r="C3" s="65"/>
      <c r="D3" s="67"/>
      <c r="E3" s="67"/>
      <c r="F3" s="67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1:23" x14ac:dyDescent="0.25">
      <c r="A4" s="99" t="s">
        <v>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65"/>
      <c r="M4" s="65"/>
      <c r="N4" s="65"/>
      <c r="O4" s="65"/>
      <c r="P4" s="65"/>
    </row>
    <row r="5" spans="1:23" ht="15.75" thickBot="1" x14ac:dyDescent="0.3">
      <c r="A5" s="66"/>
      <c r="B5" s="65"/>
      <c r="C5" s="65"/>
      <c r="D5" s="67"/>
      <c r="E5" s="67"/>
      <c r="F5" s="67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23" ht="15.75" thickBot="1" x14ac:dyDescent="0.3">
      <c r="A6" s="66"/>
      <c r="B6" s="65"/>
      <c r="C6" s="65"/>
      <c r="D6" s="67"/>
      <c r="E6" s="67"/>
      <c r="F6" s="80"/>
      <c r="G6" s="65"/>
      <c r="H6" s="65"/>
      <c r="I6" s="65"/>
      <c r="J6" s="65"/>
      <c r="K6" s="65"/>
      <c r="L6" s="65"/>
      <c r="M6" s="74" t="s">
        <v>29</v>
      </c>
      <c r="N6" s="65"/>
      <c r="O6" s="65"/>
      <c r="P6" s="74" t="s">
        <v>23</v>
      </c>
    </row>
    <row r="7" spans="1:23" ht="15.75" thickBot="1" x14ac:dyDescent="0.3">
      <c r="F7" s="33"/>
      <c r="G7" s="22"/>
      <c r="H7" s="22"/>
      <c r="M7" s="25">
        <v>33617700.536299996</v>
      </c>
      <c r="P7" s="25">
        <v>491953837</v>
      </c>
    </row>
    <row r="8" spans="1:23" s="65" customFormat="1" ht="30.75" thickBot="1" x14ac:dyDescent="0.3">
      <c r="A8" s="66"/>
      <c r="D8" s="67"/>
      <c r="E8" s="101" t="s">
        <v>16</v>
      </c>
      <c r="F8" s="102"/>
      <c r="G8" s="102"/>
      <c r="H8" s="103"/>
      <c r="O8" s="68" t="s">
        <v>15</v>
      </c>
      <c r="P8" s="95" t="s">
        <v>11</v>
      </c>
      <c r="Q8" s="100"/>
      <c r="R8" s="96"/>
      <c r="S8" s="69" t="s">
        <v>26</v>
      </c>
      <c r="T8" s="88" t="s">
        <v>24</v>
      </c>
      <c r="U8" s="89"/>
      <c r="V8" s="95" t="s">
        <v>25</v>
      </c>
      <c r="W8" s="96"/>
    </row>
    <row r="9" spans="1:23" s="65" customFormat="1" ht="15.75" customHeight="1" thickBot="1" x14ac:dyDescent="0.3">
      <c r="A9" s="66"/>
      <c r="B9" s="70" t="s">
        <v>14</v>
      </c>
      <c r="C9" s="97" t="s">
        <v>0</v>
      </c>
      <c r="D9" s="98"/>
      <c r="E9" s="71" t="s">
        <v>17</v>
      </c>
      <c r="F9" s="71" t="s">
        <v>18</v>
      </c>
      <c r="G9" s="72" t="s">
        <v>19</v>
      </c>
      <c r="H9" s="74" t="s">
        <v>52</v>
      </c>
      <c r="J9" s="73" t="s">
        <v>4</v>
      </c>
      <c r="K9" s="74" t="s">
        <v>3</v>
      </c>
      <c r="M9" s="64" t="s">
        <v>7</v>
      </c>
      <c r="O9" s="75">
        <v>2015</v>
      </c>
      <c r="P9" s="75" t="s">
        <v>6</v>
      </c>
      <c r="Q9" s="76" t="s">
        <v>22</v>
      </c>
      <c r="R9" s="77" t="s">
        <v>10</v>
      </c>
      <c r="S9" s="78" t="s">
        <v>16</v>
      </c>
      <c r="T9" s="79" t="s">
        <v>9</v>
      </c>
      <c r="U9" s="77" t="s">
        <v>12</v>
      </c>
      <c r="V9" s="79" t="s">
        <v>9</v>
      </c>
      <c r="W9" s="77" t="s">
        <v>12</v>
      </c>
    </row>
    <row r="10" spans="1:23" ht="15.75" thickBot="1" x14ac:dyDescent="0.3">
      <c r="B10" s="31">
        <v>7.4999999999999997E-2</v>
      </c>
      <c r="C10" s="24">
        <v>0.26966000000000001</v>
      </c>
      <c r="D10" s="13">
        <v>0.26966000000000001</v>
      </c>
      <c r="G10" s="18"/>
      <c r="H10" s="18"/>
      <c r="I10" s="1"/>
      <c r="J10" s="1"/>
      <c r="K10" s="63">
        <v>0.21181</v>
      </c>
      <c r="M10" s="47">
        <f t="shared" ref="M10:M17" si="0">(M$7*D10)-(M$7*D$10)</f>
        <v>0</v>
      </c>
      <c r="O10" s="53">
        <f>(P$7-R10)/P$7</f>
        <v>0.60687122153699147</v>
      </c>
      <c r="P10" s="25">
        <v>174470583</v>
      </c>
      <c r="Q10" s="54">
        <v>18930628</v>
      </c>
      <c r="R10" s="29">
        <f>P10+Q10</f>
        <v>193401211</v>
      </c>
      <c r="S10" s="29"/>
      <c r="T10" s="29">
        <f>-PMT((B10+1)/1.03-1,20,R10*(B10+1)^0.5,0,1)</f>
        <v>14602841.183125971</v>
      </c>
      <c r="U10" s="29">
        <f>T10+M10</f>
        <v>14602841.183125971</v>
      </c>
      <c r="V10" s="48">
        <f>-PMT(B10,20,R10*(B10+1)^0.5,0,1)</f>
        <v>18297400.530870289</v>
      </c>
      <c r="W10" s="29">
        <f>V10+M10</f>
        <v>18297400.530870289</v>
      </c>
    </row>
    <row r="11" spans="1:23" x14ac:dyDescent="0.25">
      <c r="B11" s="43">
        <v>7.3749999999999996E-2</v>
      </c>
      <c r="C11" s="13"/>
      <c r="D11" s="38">
        <f>(1+E$20)*D10</f>
        <v>0.27756058823290269</v>
      </c>
      <c r="E11" s="38">
        <f>D11-D10</f>
        <v>7.9005882329026833E-3</v>
      </c>
      <c r="F11" s="38">
        <f>D11/D10-1</f>
        <v>2.9298332095611723E-2</v>
      </c>
      <c r="G11" s="45">
        <f t="shared" ref="G11:G17" si="1">D11/D$10-1</f>
        <v>2.9298332095611723E-2</v>
      </c>
      <c r="H11" s="45">
        <f>G11-G10</f>
        <v>2.9298332095611723E-2</v>
      </c>
      <c r="I11" s="1"/>
      <c r="J11" s="1"/>
      <c r="K11" s="41">
        <f>K$10*(1+G11)</f>
        <v>0.21801567972117153</v>
      </c>
      <c r="M11" s="47">
        <f t="shared" si="0"/>
        <v>265599.60927433893</v>
      </c>
      <c r="O11" s="46">
        <f t="shared" ref="O11:O17" si="2">(P$7-P11)/P$7</f>
        <v>0.63126047966741028</v>
      </c>
      <c r="P11" s="55">
        <f>(S$20+1)*P10</f>
        <v>181402821.88115707</v>
      </c>
      <c r="Q11" s="47">
        <v>18930628</v>
      </c>
      <c r="R11" s="29">
        <f>P11+Q11</f>
        <v>200333449.88115707</v>
      </c>
      <c r="S11" s="138">
        <f>R11-R10</f>
        <v>6932238.8811570704</v>
      </c>
      <c r="T11" s="29">
        <f>-PMT((B11+1)/1.03-1,20,R11*(B11+1)^0.5,0,1)</f>
        <v>14975424.469379203</v>
      </c>
      <c r="U11" s="29">
        <f>T11+M11</f>
        <v>15241024.078653542</v>
      </c>
      <c r="V11" s="48">
        <f t="shared" ref="V11:V17" si="3">-PMT(B11,20,R11*(B11+1)^0.5,0,1)</f>
        <v>18784366.260838106</v>
      </c>
      <c r="W11" s="29">
        <f>V11+M11</f>
        <v>19049965.870112445</v>
      </c>
    </row>
    <row r="12" spans="1:23" x14ac:dyDescent="0.25">
      <c r="B12" s="37">
        <v>7.2499999999999995E-2</v>
      </c>
      <c r="C12" s="13"/>
      <c r="D12" s="38">
        <f>(1+E$19)*D10</f>
        <v>0.28569265052360354</v>
      </c>
      <c r="E12" s="38">
        <f t="shared" ref="E12:E17" si="4">D12-D11</f>
        <v>8.1320622907008477E-3</v>
      </c>
      <c r="F12" s="38">
        <f t="shared" ref="F12:F17" si="5">D12/D11-1</f>
        <v>2.9298332095611501E-2</v>
      </c>
      <c r="G12" s="45">
        <f t="shared" si="1"/>
        <v>5.9455056454807975E-2</v>
      </c>
      <c r="H12" s="45">
        <f t="shared" ref="H12:H17" si="6">G12-G11</f>
        <v>3.0156724359196252E-2</v>
      </c>
      <c r="I12" s="12"/>
      <c r="J12" s="21">
        <f>J10*(1+D$12)</f>
        <v>0</v>
      </c>
      <c r="K12" s="41">
        <f>K10*(1+G$12)</f>
        <v>0.22440317550769287</v>
      </c>
      <c r="L12" s="14"/>
      <c r="M12" s="47">
        <f t="shared" si="0"/>
        <v>538980.84410565719</v>
      </c>
      <c r="O12" s="46">
        <f t="shared" si="2"/>
        <v>0.61660935398240713</v>
      </c>
      <c r="P12" s="47">
        <f>(S$19+1)*P10</f>
        <v>188610499.37826362</v>
      </c>
      <c r="Q12" s="47">
        <v>18930628</v>
      </c>
      <c r="R12" s="29">
        <f t="shared" ref="R12:R17" si="7">P12+Q12</f>
        <v>207541127.37826362</v>
      </c>
      <c r="S12" s="138">
        <f>R12-R11</f>
        <v>7207677.4971065521</v>
      </c>
      <c r="T12" s="29">
        <f>-PMT((B12+1)/1.03-1,20,R12*(B12+1)^0.5,0,1)</f>
        <v>15358660.866922064</v>
      </c>
      <c r="U12" s="29">
        <f>T12+M12</f>
        <v>15897641.711027721</v>
      </c>
      <c r="V12" s="48">
        <f t="shared" si="3"/>
        <v>19285808.526448295</v>
      </c>
      <c r="W12" s="29">
        <f>V12+M12</f>
        <v>19824789.370553952</v>
      </c>
    </row>
    <row r="13" spans="1:23" x14ac:dyDescent="0.25">
      <c r="B13" s="37">
        <v>7.0000000000000007E-2</v>
      </c>
      <c r="C13" s="13"/>
      <c r="D13" s="38">
        <f>(1+E$19)*D12</f>
        <v>0.30267852318920813</v>
      </c>
      <c r="E13" s="38">
        <f t="shared" si="4"/>
        <v>1.6985872665604584E-2</v>
      </c>
      <c r="F13" s="38">
        <f t="shared" si="5"/>
        <v>5.9455056454807975E-2</v>
      </c>
      <c r="G13" s="45">
        <f t="shared" si="1"/>
        <v>0.1224450166476605</v>
      </c>
      <c r="H13" s="45">
        <f t="shared" si="6"/>
        <v>6.2989960192852523E-2</v>
      </c>
      <c r="I13" s="12"/>
      <c r="J13" s="21">
        <f t="shared" ref="J13:J17" si="8">J12*(1+D$12)</f>
        <v>0</v>
      </c>
      <c r="K13" s="41">
        <f t="shared" ref="K13:K17" si="9">K12*(1+G$12)</f>
        <v>0.23774507897614094</v>
      </c>
      <c r="L13" s="15"/>
      <c r="M13" s="47">
        <f t="shared" si="0"/>
        <v>1110006.8247256763</v>
      </c>
      <c r="O13" s="46">
        <f t="shared" si="2"/>
        <v>0.58553757338947332</v>
      </c>
      <c r="P13" s="47">
        <f>(S$19+1)*P12</f>
        <v>203896381.06337953</v>
      </c>
      <c r="Q13" s="47">
        <v>18930628</v>
      </c>
      <c r="R13" s="29">
        <f t="shared" si="7"/>
        <v>222827009.06337953</v>
      </c>
      <c r="S13" s="138">
        <f>R13-R12</f>
        <v>15285881.685115904</v>
      </c>
      <c r="T13" s="29">
        <f>-PMT((B13+1)/1.03-1,20,R13*(B13+1)^0.5,0,1)</f>
        <v>16158148.764923196</v>
      </c>
      <c r="U13" s="29">
        <f>T13+M13</f>
        <v>17268155.589648873</v>
      </c>
      <c r="V13" s="48">
        <f t="shared" si="3"/>
        <v>20333652.137352053</v>
      </c>
      <c r="W13" s="29">
        <f>V13+M13</f>
        <v>21443658.962077729</v>
      </c>
    </row>
    <row r="14" spans="1:23" ht="15.75" thickBot="1" x14ac:dyDescent="0.3">
      <c r="B14" s="44">
        <v>6.7500000000000004E-2</v>
      </c>
      <c r="C14" s="13"/>
      <c r="D14" s="40">
        <f>(1+E$19)*D13</f>
        <v>0.32067429187308039</v>
      </c>
      <c r="E14" s="40">
        <f t="shared" si="4"/>
        <v>1.799576868387226E-2</v>
      </c>
      <c r="F14" s="40">
        <f t="shared" si="5"/>
        <v>5.9455056454807975E-2</v>
      </c>
      <c r="G14" s="40">
        <f t="shared" si="1"/>
        <v>0.18918004847986492</v>
      </c>
      <c r="H14" s="40">
        <f t="shared" si="6"/>
        <v>6.6735031832204417E-2</v>
      </c>
      <c r="I14" s="12"/>
      <c r="J14" s="21">
        <f t="shared" si="8"/>
        <v>0</v>
      </c>
      <c r="K14" s="41">
        <f t="shared" si="9"/>
        <v>0.25188022606852017</v>
      </c>
      <c r="L14" s="15"/>
      <c r="M14" s="47">
        <f t="shared" si="0"/>
        <v>1714983.1872606184</v>
      </c>
      <c r="O14" s="51">
        <f t="shared" si="2"/>
        <v>0.5519475896028937</v>
      </c>
      <c r="P14" s="58">
        <f>(S$19+1)*P13</f>
        <v>220421102.47195512</v>
      </c>
      <c r="Q14" s="52">
        <v>18930628</v>
      </c>
      <c r="R14" s="50">
        <f t="shared" si="7"/>
        <v>239351730.47195512</v>
      </c>
      <c r="S14" s="50">
        <f t="shared" ref="S14:S17" si="10">R14-R13</f>
        <v>16524721.408575594</v>
      </c>
      <c r="T14" s="49">
        <f>-PMT((B14+1)/1.03-1,20,R14*(B14+1)^0.5,0,1)</f>
        <v>17003472.178782616</v>
      </c>
      <c r="U14" s="50">
        <f>T14+M14</f>
        <v>18718455.366043232</v>
      </c>
      <c r="V14" s="50">
        <f t="shared" si="3"/>
        <v>21444078.605732381</v>
      </c>
      <c r="W14" s="50">
        <f>V14+M14</f>
        <v>23159061.792993002</v>
      </c>
    </row>
    <row r="15" spans="1:23" ht="15.75" thickBot="1" x14ac:dyDescent="0.3">
      <c r="B15" s="44">
        <v>6.5000000000000002E-2</v>
      </c>
      <c r="C15" s="39">
        <v>0.33973999999999999</v>
      </c>
      <c r="D15" s="40">
        <f>(1+E$19)*D14</f>
        <v>0.33973999999999993</v>
      </c>
      <c r="E15" s="40">
        <f t="shared" si="4"/>
        <v>1.9065708126919545E-2</v>
      </c>
      <c r="F15" s="40">
        <f t="shared" si="5"/>
        <v>5.9455056454807975E-2</v>
      </c>
      <c r="G15" s="40">
        <f t="shared" si="1"/>
        <v>0.2598828153971664</v>
      </c>
      <c r="H15" s="40">
        <f t="shared" si="6"/>
        <v>7.0702766917301485E-2</v>
      </c>
      <c r="J15" s="21">
        <f t="shared" si="8"/>
        <v>0</v>
      </c>
      <c r="K15" s="41">
        <f t="shared" si="9"/>
        <v>0.26685577912927383</v>
      </c>
      <c r="L15" s="15"/>
      <c r="M15" s="47">
        <f t="shared" si="0"/>
        <v>2355928.4535839017</v>
      </c>
      <c r="O15" s="56">
        <f t="shared" si="2"/>
        <v>0.51563531559567855</v>
      </c>
      <c r="P15" s="60">
        <v>238285065</v>
      </c>
      <c r="Q15" s="57">
        <v>18930628</v>
      </c>
      <c r="R15" s="50">
        <f t="shared" si="7"/>
        <v>257215693</v>
      </c>
      <c r="S15" s="50">
        <f t="shared" si="10"/>
        <v>17863962.528044879</v>
      </c>
      <c r="T15" s="49">
        <f>-PMT((B15+1)/1.03-1,20,R15*(B15+1)^0.5,0,1)</f>
        <v>17896889.556368828</v>
      </c>
      <c r="U15" s="50">
        <f>T15+M15</f>
        <v>20252818.009952731</v>
      </c>
      <c r="V15" s="50">
        <f t="shared" si="3"/>
        <v>22620379.995566357</v>
      </c>
      <c r="W15" s="50">
        <f>V15+M15</f>
        <v>24976308.449150257</v>
      </c>
    </row>
    <row r="16" spans="1:23" x14ac:dyDescent="0.25">
      <c r="B16" s="44">
        <v>6.25E-2</v>
      </c>
      <c r="C16" s="12"/>
      <c r="D16" s="40">
        <f>(1+E$19)*D15</f>
        <v>0.35993926087995637</v>
      </c>
      <c r="E16" s="40">
        <f t="shared" si="4"/>
        <v>2.0199260879956438E-2</v>
      </c>
      <c r="F16" s="40">
        <f t="shared" si="5"/>
        <v>5.9455056454807975E-2</v>
      </c>
      <c r="G16" s="40">
        <f t="shared" si="1"/>
        <v>0.33478921931304728</v>
      </c>
      <c r="H16" s="40">
        <f t="shared" si="6"/>
        <v>7.4906403915880881E-2</v>
      </c>
      <c r="I16" s="12"/>
      <c r="J16" s="21">
        <f t="shared" si="8"/>
        <v>0</v>
      </c>
      <c r="K16" s="41">
        <f t="shared" si="9"/>
        <v>0.28272170454269657</v>
      </c>
      <c r="L16" s="15"/>
      <c r="M16" s="47">
        <f t="shared" si="0"/>
        <v>3034981.1569008753</v>
      </c>
      <c r="N16" s="12"/>
      <c r="O16" s="51">
        <f t="shared" si="2"/>
        <v>0.47638012416858755</v>
      </c>
      <c r="P16" s="59">
        <f>(S$19+1)*P15</f>
        <v>257596807.04472691</v>
      </c>
      <c r="Q16" s="52">
        <v>18930628</v>
      </c>
      <c r="R16" s="50">
        <f t="shared" si="7"/>
        <v>276527435.04472691</v>
      </c>
      <c r="S16" s="50">
        <f t="shared" si="10"/>
        <v>19311742.044726908</v>
      </c>
      <c r="T16" s="49">
        <f>-PMT((B16+1)/1.03-1,20,R16*(B16+1)^0.5,0,1)</f>
        <v>18840753.256849598</v>
      </c>
      <c r="U16" s="50">
        <f>T16+M16</f>
        <v>21875734.413750473</v>
      </c>
      <c r="V16" s="50">
        <f t="shared" si="3"/>
        <v>23865998.321705539</v>
      </c>
      <c r="W16" s="50">
        <f>V16+M16</f>
        <v>26900979.478606414</v>
      </c>
    </row>
    <row r="17" spans="2:23" x14ac:dyDescent="0.25">
      <c r="B17" s="40">
        <v>0.06</v>
      </c>
      <c r="C17" s="13"/>
      <c r="D17" s="40">
        <f>(1+E$19)*D16</f>
        <v>0.38133946995587603</v>
      </c>
      <c r="E17" s="40">
        <f t="shared" si="4"/>
        <v>2.1400209075919663E-2</v>
      </c>
      <c r="F17" s="40">
        <f t="shared" si="5"/>
        <v>5.9455056454807975E-2</v>
      </c>
      <c r="G17" s="40">
        <f t="shared" si="1"/>
        <v>0.41414918770257358</v>
      </c>
      <c r="H17" s="40">
        <f t="shared" si="6"/>
        <v>7.9359968389526303E-2</v>
      </c>
      <c r="I17" s="20"/>
      <c r="J17" s="21">
        <f t="shared" si="8"/>
        <v>0</v>
      </c>
      <c r="K17" s="42">
        <f t="shared" si="9"/>
        <v>0.29953093944728215</v>
      </c>
      <c r="L17" s="15"/>
      <c r="M17" s="47">
        <f t="shared" si="0"/>
        <v>3754406.9770293534</v>
      </c>
      <c r="N17" s="4"/>
      <c r="O17" s="51">
        <f t="shared" si="2"/>
        <v>0.43394350745680094</v>
      </c>
      <c r="P17" s="52">
        <f>(S$19+1)*P16</f>
        <v>278473663.46538866</v>
      </c>
      <c r="Q17" s="52">
        <v>18930628</v>
      </c>
      <c r="R17" s="50">
        <f t="shared" si="7"/>
        <v>297404291.46538866</v>
      </c>
      <c r="S17" s="50">
        <f t="shared" si="10"/>
        <v>20876856.420661747</v>
      </c>
      <c r="T17" s="49">
        <f>-PMT((B17+1)/1.03-1,20,R17*(B17+1)^0.5,0,1)</f>
        <v>19837512.333614931</v>
      </c>
      <c r="U17" s="52">
        <f>T17+M17</f>
        <v>23591919.310644284</v>
      </c>
      <c r="V17" s="52">
        <f t="shared" si="3"/>
        <v>25184530.756597862</v>
      </c>
      <c r="W17" s="52">
        <f>V17+M17</f>
        <v>28938937.733627215</v>
      </c>
    </row>
    <row r="18" spans="2:23" ht="15.75" thickBot="1" x14ac:dyDescent="0.3">
      <c r="B18" s="13"/>
      <c r="C18" s="13"/>
      <c r="G18" s="18"/>
      <c r="H18" s="18"/>
      <c r="J18" s="21"/>
      <c r="K18" s="21"/>
      <c r="M18" s="2"/>
      <c r="P18" s="2"/>
      <c r="Q18" s="2"/>
      <c r="R18" s="5"/>
      <c r="S18" s="5"/>
      <c r="T18" s="5"/>
      <c r="U18" s="5"/>
      <c r="V18" s="28"/>
      <c r="W18" s="5"/>
    </row>
    <row r="19" spans="2:23" ht="15.75" thickBot="1" x14ac:dyDescent="0.3">
      <c r="B19" s="35" t="s">
        <v>20</v>
      </c>
      <c r="C19" s="13"/>
      <c r="E19" s="36">
        <f>(C15/C10)^(1/4)-1</f>
        <v>5.9455056454807975E-2</v>
      </c>
      <c r="G19" s="18"/>
      <c r="H19" s="18"/>
      <c r="J19" s="21"/>
      <c r="K19" s="21"/>
      <c r="M19" s="2"/>
      <c r="P19" s="35" t="s">
        <v>20</v>
      </c>
      <c r="Q19" s="13"/>
      <c r="R19" s="13"/>
      <c r="S19" s="27">
        <f>(P15/P10)^(1/4)-1</f>
        <v>8.104470183528667E-2</v>
      </c>
      <c r="T19" s="5"/>
      <c r="U19" s="5"/>
      <c r="V19" s="28"/>
      <c r="W19" s="5"/>
    </row>
    <row r="20" spans="2:23" ht="15.75" thickBot="1" x14ac:dyDescent="0.3">
      <c r="B20" s="30" t="s">
        <v>21</v>
      </c>
      <c r="C20" s="13"/>
      <c r="E20" s="36">
        <f>(C15/C10)^(1/8)-1</f>
        <v>2.9298332095611723E-2</v>
      </c>
      <c r="P20" s="30" t="s">
        <v>21</v>
      </c>
      <c r="Q20" s="13"/>
      <c r="R20" s="13"/>
      <c r="S20" s="16">
        <f>(P15/P10)^(1/8)-1</f>
        <v>3.9732995453778397E-2</v>
      </c>
    </row>
    <row r="21" spans="2:23" x14ac:dyDescent="0.25">
      <c r="B21" s="17"/>
      <c r="D21"/>
    </row>
    <row r="23" spans="2:23" x14ac:dyDescent="0.25">
      <c r="M23" s="5"/>
    </row>
    <row r="24" spans="2:23" x14ac:dyDescent="0.25">
      <c r="M24" s="4"/>
    </row>
    <row r="25" spans="2:23" x14ac:dyDescent="0.25">
      <c r="B25" s="90"/>
      <c r="C25" t="s">
        <v>33</v>
      </c>
      <c r="M25" s="4"/>
    </row>
    <row r="26" spans="2:23" x14ac:dyDescent="0.25">
      <c r="M26" s="4"/>
    </row>
    <row r="27" spans="2:23" x14ac:dyDescent="0.25">
      <c r="M27" s="4"/>
    </row>
    <row r="28" spans="2:23" x14ac:dyDescent="0.25">
      <c r="M28" s="4"/>
      <c r="P28" s="4"/>
    </row>
  </sheetData>
  <mergeCells count="5">
    <mergeCell ref="V8:W8"/>
    <mergeCell ref="C9:D9"/>
    <mergeCell ref="A4:K4"/>
    <mergeCell ref="P8:R8"/>
    <mergeCell ref="E8:H8"/>
  </mergeCells>
  <hyperlinks>
    <hyperlink ref="B20" r:id="rId1" display="Extrapolation@1/8th"/>
    <hyperlink ref="B19" r:id="rId2" display="Extrapolation@1/4th"/>
    <hyperlink ref="P20" r:id="rId3" display="Extrapolation@1/8th"/>
    <hyperlink ref="P19" r:id="rId4" display="Extrapolation@1/4th"/>
  </hyperlinks>
  <pageMargins left="0.25" right="0.25" top="0.75" bottom="0.75" header="0.3" footer="0.3"/>
  <pageSetup scale="55" orientation="landscape" verticalDpi="1200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Disc Rate Chg - Total</vt:lpstr>
      <vt:lpstr>Disc Rate Chg - Misc</vt:lpstr>
      <vt:lpstr>Sheet1</vt:lpstr>
      <vt:lpstr>Shannon Misc Notes</vt:lpstr>
      <vt:lpstr>Disc Rate Chg - Safety</vt:lpstr>
    </vt:vector>
  </TitlesOfParts>
  <Company>City of Newport Beach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Matusiewicz, Dan</dc:creator>
  <cp:lastModifiedBy>Matusiewicz, Dan</cp:lastModifiedBy>
  <cp:lastPrinted>2017-03-09T21:09:45Z</cp:lastPrinted>
  <dcterms:created xsi:type="dcterms:W3CDTF">2016-10-26T02:50:24Z</dcterms:created>
  <dcterms:modified xsi:type="dcterms:W3CDTF">2017-03-09T21:20:26Z</dcterms:modified>
</cp:coreProperties>
</file>